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1340" windowHeight="6540" tabRatio="825" activeTab="12"/>
  </bookViews>
  <sheets>
    <sheet name="Regrese" sheetId="17" r:id="rId1"/>
    <sheet name="MNČ" sheetId="15" r:id="rId2"/>
    <sheet name="Datové tabulky" sheetId="14" r:id="rId3"/>
    <sheet name="Databázové funkce" sheetId="16" r:id="rId4"/>
    <sheet name="Kontingenční tabulka" sheetId="13" r:id="rId5"/>
    <sheet name="Funkce POSUN" sheetId="21" r:id="rId6"/>
    <sheet name="Vývoj v čase" sheetId="19" r:id="rId7"/>
    <sheet name="Funkce SVYHLEDAT" sheetId="18" r:id="rId8"/>
    <sheet name="Maticové vzorce" sheetId="1" r:id="rId9"/>
    <sheet name="Doprava" sheetId="12" r:id="rId10"/>
    <sheet name="Čokoládovna" sheetId="11" r:id="rId11"/>
    <sheet name="Seznam" sheetId="2" r:id="rId12"/>
    <sheet name="Otázky" sheetId="3" r:id="rId13"/>
  </sheets>
  <definedNames>
    <definedName name="_xlnm._FilterDatabase" localSheetId="8" hidden="1">'Maticové vzorce'!$A$1:$Q$175</definedName>
    <definedName name="_xlnm._FilterDatabase" localSheetId="11" hidden="1">Seznam!$A$1:$H$166</definedName>
    <definedName name="_PX50">OFFSET('Funkce POSUN'!$S$1,'Funkce POSUN'!$W$2,0,'Funkce POSUN'!$U$2)</definedName>
    <definedName name="Cena">'Maticové vzorce'!$F$2:$F$166</definedName>
    <definedName name="Datum">'Maticové vzorce'!$A$2:$A$166</definedName>
    <definedName name="DatumPX">OFFSET('Funkce POSUN'!$R$1,'Funkce POSUN'!$W$2,0,'Funkce POSUN'!$U$2)</definedName>
    <definedName name="Den">'Maticové vzorce'!$C$2:$C$166</definedName>
    <definedName name="Kancelář">OFFSET('Funkce POSUN'!$B$1,1,0,COUNTA('Funkce POSUN'!$B:$B)-1)</definedName>
    <definedName name="Měsíc">'Maticové vzorce'!$B$2:$B$166</definedName>
    <definedName name="Množství">OFFSET('Funkce POSUN'!$C$1,1,0,COUNTA('Funkce POSUN'!$C:$C)-1)</definedName>
    <definedName name="Počet">'Maticové vzorce'!$E$2:$E$166</definedName>
    <definedName name="Předmět">OFFSET('Funkce POSUN'!$A$1,1,0,COUNTA('Funkce POSUN'!$A:$A)-1)</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in" localSheetId="12" hidden="1">2</definedName>
    <definedName name="solver_neg" localSheetId="12" hidden="1">2</definedName>
    <definedName name="solver_num" localSheetId="12" hidden="1">0</definedName>
    <definedName name="solver_nwt" localSheetId="12" hidden="1">1</definedName>
    <definedName name="solver_opt" localSheetId="12" hidden="1">Otázky!$B$14</definedName>
    <definedName name="solver_pre" localSheetId="12" hidden="1">0.000001</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1</definedName>
    <definedName name="solver_val" localSheetId="12" hidden="1">0</definedName>
    <definedName name="Tržba">'Maticové vzorce'!$G$2:$G$166</definedName>
    <definedName name="Výrobek">'Maticové vzorce'!$D$2:$D$166</definedName>
    <definedName name="Zákazník">'Maticové vzorce'!$H$2:$H$166</definedName>
  </definedNames>
  <calcPr calcId="145621" iterateCount="1000" iterateDelta="9.9999999999999995E-8"/>
  <pivotCaches>
    <pivotCache cacheId="0" r:id="rId14"/>
  </pivotCaches>
</workbook>
</file>

<file path=xl/calcChain.xml><?xml version="1.0" encoding="utf-8"?>
<calcChain xmlns="http://schemas.openxmlformats.org/spreadsheetml/2006/main">
  <c r="AK81" i="1" l="1"/>
  <c r="AK82" i="1"/>
  <c r="AK83" i="1"/>
  <c r="AK84" i="1"/>
  <c r="AK85" i="1"/>
  <c r="AK86" i="1"/>
  <c r="AK87" i="1"/>
  <c r="AK88" i="1"/>
  <c r="AK89" i="1"/>
  <c r="AK90" i="1"/>
  <c r="AK91" i="1"/>
  <c r="AK68" i="1"/>
  <c r="AK69" i="1"/>
  <c r="AK70" i="1"/>
  <c r="AK71" i="1"/>
  <c r="AK72" i="1"/>
  <c r="AK73" i="1"/>
  <c r="AK74" i="1"/>
  <c r="AK75" i="1"/>
  <c r="AK76" i="1"/>
  <c r="AK77" i="1"/>
  <c r="AK78" i="1"/>
  <c r="AK79" i="1"/>
  <c r="AK80" i="1"/>
  <c r="AK67" i="1"/>
  <c r="AJ96" i="1" l="1" a="1"/>
  <c r="AJ96" i="1" s="1"/>
  <c r="AJ95" i="1" a="1"/>
  <c r="AJ95" i="1" s="1"/>
  <c r="AK92"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Z101" i="1" s="1"/>
  <c r="Y68" i="1"/>
  <c r="Y66" i="1" a="1"/>
  <c r="AD66" i="1" a="1"/>
  <c r="AD65" i="1" a="1"/>
  <c r="AL67" i="1" l="1"/>
  <c r="AL82" i="1"/>
  <c r="AL90" i="1"/>
  <c r="AL68" i="1"/>
  <c r="AL72" i="1"/>
  <c r="AL76" i="1"/>
  <c r="AL80" i="1"/>
  <c r="AL84" i="1"/>
  <c r="AL88" i="1"/>
  <c r="AL69" i="1"/>
  <c r="AL73" i="1"/>
  <c r="AL77" i="1"/>
  <c r="AL81" i="1"/>
  <c r="AL85" i="1"/>
  <c r="AL89" i="1"/>
  <c r="AL78" i="1"/>
  <c r="AL71" i="1"/>
  <c r="AL86" i="1"/>
  <c r="AL83" i="1"/>
  <c r="AL75" i="1"/>
  <c r="AL70" i="1"/>
  <c r="AL87" i="1"/>
  <c r="AL79" i="1"/>
  <c r="AL74" i="1"/>
  <c r="AL91" i="1"/>
  <c r="AD66" i="1"/>
  <c r="AD65" i="1"/>
  <c r="Y66" i="1"/>
  <c r="Z100" i="1"/>
  <c r="Z99" i="1" s="1"/>
  <c r="Z98" i="1" s="1"/>
  <c r="Z97" i="1" s="1"/>
  <c r="Z96" i="1" s="1"/>
  <c r="Z95" i="1" s="1"/>
  <c r="Z94" i="1" s="1"/>
  <c r="Z93" i="1" s="1"/>
  <c r="Z92" i="1" s="1"/>
  <c r="Z91" i="1" s="1"/>
  <c r="Z90" i="1" s="1"/>
  <c r="Z89" i="1" s="1"/>
  <c r="Z88" i="1" s="1"/>
  <c r="Z87" i="1" s="1"/>
  <c r="Z86" i="1" s="1"/>
  <c r="Z85" i="1" s="1"/>
  <c r="Z84" i="1" s="1"/>
  <c r="Z83" i="1" s="1"/>
  <c r="Z82" i="1" s="1"/>
  <c r="Z81" i="1" s="1"/>
  <c r="Z80" i="1" s="1"/>
  <c r="Z79" i="1" s="1"/>
  <c r="Z78" i="1" s="1"/>
  <c r="Z77" i="1" s="1"/>
  <c r="Z76" i="1" s="1"/>
  <c r="Z75" i="1" s="1"/>
  <c r="Z74" i="1" s="1"/>
  <c r="Z73" i="1" s="1"/>
  <c r="Z72" i="1" s="1"/>
  <c r="Z71" i="1" s="1"/>
  <c r="Z70" i="1" s="1"/>
  <c r="Z69" i="1" s="1"/>
  <c r="Z68" i="1" s="1"/>
  <c r="AH61" i="1" a="1"/>
  <c r="AH61" i="1" s="1"/>
  <c r="V164" i="1"/>
  <c r="F2" i="1" a="1"/>
  <c r="F4" i="1" s="1"/>
  <c r="Q158" i="1" a="1"/>
  <c r="Q158" i="1" s="1"/>
  <c r="Q155" i="1" a="1"/>
  <c r="Q155" i="1" s="1"/>
  <c r="O70" i="1" a="1"/>
  <c r="O70" i="1" s="1"/>
  <c r="K120" i="1" a="1"/>
  <c r="X2" i="21"/>
  <c r="M45" i="21"/>
  <c r="M46" i="21"/>
  <c r="M47" i="21"/>
  <c r="M48" i="21"/>
  <c r="M49" i="21"/>
  <c r="M50" i="21"/>
  <c r="M51" i="21"/>
  <c r="M3" i="21"/>
  <c r="M4" i="21"/>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2" i="21"/>
  <c r="E7" i="21"/>
  <c r="F3" i="21" a="1"/>
  <c r="F3" i="21" s="1"/>
  <c r="G3" i="21" a="1"/>
  <c r="G3" i="21" s="1"/>
  <c r="H3" i="21" a="1"/>
  <c r="H3" i="21" s="1"/>
  <c r="F4" i="21" a="1"/>
  <c r="F4" i="21" s="1"/>
  <c r="G4" i="21" a="1"/>
  <c r="G4" i="21" s="1"/>
  <c r="H4" i="21" a="1"/>
  <c r="H4" i="21" s="1"/>
  <c r="G2" i="21" a="1"/>
  <c r="G2" i="21" s="1"/>
  <c r="H2" i="21" a="1"/>
  <c r="H2" i="21" s="1"/>
  <c r="F2" i="21" a="1"/>
  <c r="F2" i="21" s="1"/>
  <c r="E6" i="21"/>
  <c r="E3" i="19" a="1"/>
  <c r="E3" i="19" s="1"/>
  <c r="N29" i="19" s="1"/>
  <c r="E4" i="19"/>
  <c r="E6" i="19"/>
  <c r="E8" i="19"/>
  <c r="E10" i="19"/>
  <c r="E12" i="19"/>
  <c r="E14" i="19"/>
  <c r="E16" i="19"/>
  <c r="E18" i="19"/>
  <c r="E20" i="19"/>
  <c r="E22" i="19"/>
  <c r="E24" i="19"/>
  <c r="E26" i="19"/>
  <c r="E28" i="19"/>
  <c r="E30" i="19"/>
  <c r="E32" i="19"/>
  <c r="E34" i="19"/>
  <c r="E36" i="19"/>
  <c r="E38" i="19"/>
  <c r="E40" i="19"/>
  <c r="E42" i="19"/>
  <c r="B3" i="19" a="1"/>
  <c r="B6" i="19" s="1"/>
  <c r="B10" i="19"/>
  <c r="B26" i="19"/>
  <c r="B42" i="19"/>
  <c r="G3" i="19" a="1"/>
  <c r="G3" i="19" s="1"/>
  <c r="P29" i="19" s="1"/>
  <c r="G10" i="19"/>
  <c r="G18" i="19"/>
  <c r="G26" i="19"/>
  <c r="G34" i="19"/>
  <c r="G42" i="19"/>
  <c r="F3" i="19" a="1"/>
  <c r="F7" i="19" s="1"/>
  <c r="F3" i="19"/>
  <c r="O29" i="19" s="1"/>
  <c r="F4" i="19"/>
  <c r="F5" i="19"/>
  <c r="F6" i="19"/>
  <c r="F8" i="19"/>
  <c r="F9" i="19"/>
  <c r="F10" i="19"/>
  <c r="F12" i="19"/>
  <c r="F13" i="19"/>
  <c r="F14" i="19"/>
  <c r="F16" i="19"/>
  <c r="F17" i="19"/>
  <c r="F18" i="19"/>
  <c r="F20" i="19"/>
  <c r="F21" i="19"/>
  <c r="F22" i="19"/>
  <c r="F24" i="19"/>
  <c r="F25" i="19"/>
  <c r="F26" i="19"/>
  <c r="F28" i="19"/>
  <c r="F29" i="19"/>
  <c r="F30" i="19"/>
  <c r="F32" i="19"/>
  <c r="F33" i="19"/>
  <c r="F34" i="19"/>
  <c r="F36" i="19"/>
  <c r="F37" i="19"/>
  <c r="F38" i="19"/>
  <c r="F40" i="19"/>
  <c r="F41" i="19"/>
  <c r="F42" i="19"/>
  <c r="D3" i="19" a="1"/>
  <c r="D3" i="19" s="1"/>
  <c r="M29" i="19" s="1"/>
  <c r="D10" i="19"/>
  <c r="D18" i="19"/>
  <c r="D26" i="19"/>
  <c r="D34" i="19"/>
  <c r="D42" i="19"/>
  <c r="C3" i="19" a="1"/>
  <c r="C7" i="19" s="1"/>
  <c r="C3" i="19"/>
  <c r="L29" i="19" s="1"/>
  <c r="C4" i="19"/>
  <c r="C5" i="19"/>
  <c r="C6" i="19"/>
  <c r="C8" i="19"/>
  <c r="C9" i="19"/>
  <c r="C10" i="19"/>
  <c r="C12" i="19"/>
  <c r="C13" i="19"/>
  <c r="C14" i="19"/>
  <c r="C16" i="19"/>
  <c r="C17" i="19"/>
  <c r="C18" i="19"/>
  <c r="C20" i="19"/>
  <c r="C21" i="19"/>
  <c r="C22" i="19"/>
  <c r="C24" i="19"/>
  <c r="C25" i="19"/>
  <c r="C26" i="19"/>
  <c r="C28" i="19"/>
  <c r="C29" i="19"/>
  <c r="C30" i="19"/>
  <c r="C32" i="19"/>
  <c r="C33" i="19"/>
  <c r="C34" i="19"/>
  <c r="C36" i="19"/>
  <c r="C37" i="19"/>
  <c r="C38" i="19"/>
  <c r="C40" i="19"/>
  <c r="C41" i="19"/>
  <c r="C42" i="19"/>
  <c r="P25" i="18"/>
  <c r="P26" i="18"/>
  <c r="P27" i="18"/>
  <c r="P28" i="18"/>
  <c r="P29" i="18"/>
  <c r="P30" i="18"/>
  <c r="P31" i="18"/>
  <c r="P32" i="18"/>
  <c r="P24" i="18"/>
  <c r="I25" i="18"/>
  <c r="I26" i="18"/>
  <c r="I27" i="18"/>
  <c r="I28" i="18"/>
  <c r="I29" i="18"/>
  <c r="I30" i="18"/>
  <c r="I31" i="18"/>
  <c r="I32" i="18"/>
  <c r="I24" i="18"/>
  <c r="B25" i="18"/>
  <c r="B26" i="18"/>
  <c r="B27" i="18"/>
  <c r="B28" i="18"/>
  <c r="B29" i="18"/>
  <c r="B30" i="18"/>
  <c r="B31" i="18"/>
  <c r="B32" i="18"/>
  <c r="B33" i="18"/>
  <c r="B24" i="18"/>
  <c r="P5" i="18"/>
  <c r="P6" i="18"/>
  <c r="P7" i="18"/>
  <c r="P8" i="18"/>
  <c r="P9" i="18"/>
  <c r="P10" i="18"/>
  <c r="P11" i="18"/>
  <c r="P12" i="18"/>
  <c r="P4" i="18"/>
  <c r="I5" i="18"/>
  <c r="I6" i="18"/>
  <c r="I7" i="18"/>
  <c r="I8" i="18"/>
  <c r="I9" i="18"/>
  <c r="I10" i="18"/>
  <c r="I11" i="18"/>
  <c r="I12" i="18"/>
  <c r="I4" i="18"/>
  <c r="B5" i="18"/>
  <c r="B6" i="18"/>
  <c r="B7" i="18"/>
  <c r="B8" i="18"/>
  <c r="B9" i="18"/>
  <c r="B10" i="18"/>
  <c r="B11" i="18"/>
  <c r="B12" i="18"/>
  <c r="B4" i="18"/>
  <c r="K101" i="1"/>
  <c r="L101" i="1"/>
  <c r="M101" i="1"/>
  <c r="N101" i="1"/>
  <c r="O101" i="1"/>
  <c r="J15" i="17" a="1"/>
  <c r="N19" i="17" s="1"/>
  <c r="K21" i="17"/>
  <c r="K19" i="17"/>
  <c r="L18" i="17"/>
  <c r="M17" i="17"/>
  <c r="N16" i="17"/>
  <c r="J16" i="17"/>
  <c r="K15" i="17"/>
  <c r="F2" i="17"/>
  <c r="F3" i="17"/>
  <c r="F4" i="17"/>
  <c r="F5" i="17"/>
  <c r="F6" i="17"/>
  <c r="F7" i="17"/>
  <c r="F8" i="17"/>
  <c r="F9" i="17"/>
  <c r="F10" i="17"/>
  <c r="F11" i="17"/>
  <c r="F12" i="17"/>
  <c r="G2" i="17"/>
  <c r="G3" i="17"/>
  <c r="G4" i="17"/>
  <c r="G5" i="17"/>
  <c r="G6" i="17"/>
  <c r="G7" i="17"/>
  <c r="G8" i="17"/>
  <c r="G9" i="17"/>
  <c r="G10" i="17"/>
  <c r="G11" i="17"/>
  <c r="G12" i="17"/>
  <c r="H2" i="17"/>
  <c r="H3" i="17"/>
  <c r="H4" i="17"/>
  <c r="H5" i="17"/>
  <c r="H6" i="17"/>
  <c r="H7" i="17"/>
  <c r="H8" i="17"/>
  <c r="H9" i="17"/>
  <c r="H10" i="17"/>
  <c r="H11" i="17"/>
  <c r="H12" i="17"/>
  <c r="B12" i="17"/>
  <c r="R78" i="1" a="1"/>
  <c r="R78" i="1"/>
  <c r="S78" i="1" a="1"/>
  <c r="S78" i="1"/>
  <c r="R76" i="1" a="1"/>
  <c r="R76" i="1"/>
  <c r="S76" i="1" a="1"/>
  <c r="S76" i="1"/>
  <c r="R77" i="1" a="1"/>
  <c r="R77" i="1" s="1"/>
  <c r="S77" i="1" a="1"/>
  <c r="S77" i="1"/>
  <c r="S75" i="1" a="1"/>
  <c r="S75" i="1" s="1"/>
  <c r="R75" i="1" a="1"/>
  <c r="R75" i="1"/>
  <c r="O76" i="1" a="1"/>
  <c r="O76" i="1" s="1"/>
  <c r="O77" i="1" a="1"/>
  <c r="O77" i="1"/>
  <c r="O78" i="1" a="1"/>
  <c r="O78" i="1" s="1"/>
  <c r="O75" i="1" a="1"/>
  <c r="O75" i="1"/>
  <c r="C2" i="1" a="1"/>
  <c r="C9" i="1" s="1"/>
  <c r="G24" i="14" a="1"/>
  <c r="I25" i="14" s="1"/>
  <c r="G24" i="14"/>
  <c r="H24" i="14"/>
  <c r="I24" i="14"/>
  <c r="J24" i="14"/>
  <c r="K24" i="14"/>
  <c r="L24" i="14"/>
  <c r="G25" i="14"/>
  <c r="H25" i="14"/>
  <c r="J25" i="14"/>
  <c r="K25" i="14"/>
  <c r="L25" i="14"/>
  <c r="H26" i="14"/>
  <c r="I26" i="14"/>
  <c r="J26" i="14"/>
  <c r="L26" i="14"/>
  <c r="G27" i="14"/>
  <c r="H27" i="14"/>
  <c r="J27" i="14"/>
  <c r="K27" i="14"/>
  <c r="L27" i="14"/>
  <c r="H28" i="14"/>
  <c r="I28" i="14"/>
  <c r="J28" i="14"/>
  <c r="L28" i="14"/>
  <c r="G29" i="14"/>
  <c r="H29" i="14"/>
  <c r="J29" i="14"/>
  <c r="K29" i="14"/>
  <c r="L29" i="14"/>
  <c r="H30" i="14"/>
  <c r="I30" i="14"/>
  <c r="J30" i="14"/>
  <c r="L30" i="14"/>
  <c r="G31" i="14"/>
  <c r="H31" i="14"/>
  <c r="J31" i="14"/>
  <c r="K31" i="14"/>
  <c r="L31" i="14"/>
  <c r="B23" i="14" a="1"/>
  <c r="B27" i="14" s="1"/>
  <c r="B23" i="14"/>
  <c r="B24" i="14"/>
  <c r="B30" i="14"/>
  <c r="E10" i="14"/>
  <c r="F2" i="14" s="1"/>
  <c r="B2" i="14"/>
  <c r="E7" i="12"/>
  <c r="J71" i="1" a="1"/>
  <c r="J71" i="1" s="1"/>
  <c r="K65" i="1" a="1"/>
  <c r="K65" i="1" s="1"/>
  <c r="L65" i="1" a="1"/>
  <c r="L65" i="1" s="1"/>
  <c r="M65" i="1" a="1"/>
  <c r="M65" i="1" s="1"/>
  <c r="N65" i="1" a="1"/>
  <c r="N65" i="1" s="1"/>
  <c r="O65" i="1" a="1"/>
  <c r="O65" i="1" s="1"/>
  <c r="J65" i="1" a="1"/>
  <c r="J65" i="1" s="1"/>
  <c r="K64" i="1"/>
  <c r="L64" i="1"/>
  <c r="M64" i="1"/>
  <c r="N64" i="1"/>
  <c r="O64" i="1"/>
  <c r="J64" i="1"/>
  <c r="N59" i="1"/>
  <c r="O59" i="1" s="1"/>
  <c r="K41" i="1" a="1"/>
  <c r="K41" i="1" s="1"/>
  <c r="K40" i="1" a="1"/>
  <c r="K40" i="1" s="1"/>
  <c r="K39" i="1" a="1"/>
  <c r="K39" i="1" s="1"/>
  <c r="K38" i="1" a="1"/>
  <c r="K38" i="1" s="1"/>
  <c r="K37" i="1" a="1"/>
  <c r="K37" i="1" s="1"/>
  <c r="K36" i="1" a="1"/>
  <c r="K36" i="1" s="1"/>
  <c r="K35" i="1" a="1"/>
  <c r="K35" i="1" s="1"/>
  <c r="K34" i="1" a="1"/>
  <c r="K34" i="1" s="1"/>
  <c r="K33" i="1" a="1"/>
  <c r="K33" i="1" s="1"/>
  <c r="K32" i="1" a="1"/>
  <c r="K32" i="1" s="1"/>
  <c r="K31" i="1" a="1"/>
  <c r="K31" i="1"/>
  <c r="F174" i="1"/>
  <c r="F173" i="1" a="1"/>
  <c r="F173" i="1"/>
  <c r="F171" i="1"/>
  <c r="F172" i="1" a="1"/>
  <c r="F172" i="1" s="1"/>
  <c r="K30" i="1" a="1"/>
  <c r="K30" i="1" s="1"/>
  <c r="B2" i="1" a="1"/>
  <c r="B45" i="1" s="1"/>
  <c r="D14" i="3"/>
  <c r="T75" i="1"/>
  <c r="T76" i="1"/>
  <c r="T77" i="1"/>
  <c r="T78" i="1"/>
  <c r="R89" i="1" a="1"/>
  <c r="V90" i="1"/>
  <c r="V92" i="1"/>
  <c r="V94" i="1"/>
  <c r="V96" i="1"/>
  <c r="V98" i="1"/>
  <c r="V100" i="1"/>
  <c r="U89" i="1"/>
  <c r="U91" i="1"/>
  <c r="U93" i="1"/>
  <c r="U95" i="1"/>
  <c r="U97" i="1"/>
  <c r="U99" i="1"/>
  <c r="T90" i="1"/>
  <c r="T92" i="1"/>
  <c r="T94" i="1"/>
  <c r="T96" i="1"/>
  <c r="T98" i="1"/>
  <c r="T100" i="1"/>
  <c r="S89" i="1"/>
  <c r="S91" i="1"/>
  <c r="S93" i="1"/>
  <c r="S95" i="1"/>
  <c r="S97" i="1"/>
  <c r="S99" i="1"/>
  <c r="R99" i="1"/>
  <c r="R97" i="1"/>
  <c r="R95" i="1"/>
  <c r="R93" i="1"/>
  <c r="R91" i="1"/>
  <c r="R89" i="1"/>
  <c r="N129" i="1"/>
  <c r="M129" i="1"/>
  <c r="L129" i="1"/>
  <c r="K129" i="1"/>
  <c r="N128" i="1"/>
  <c r="M128" i="1"/>
  <c r="L128" i="1"/>
  <c r="K128" i="1"/>
  <c r="N127" i="1"/>
  <c r="M127" i="1"/>
  <c r="L127" i="1"/>
  <c r="K127" i="1"/>
  <c r="N126" i="1"/>
  <c r="M126" i="1"/>
  <c r="L126" i="1"/>
  <c r="K126" i="1"/>
  <c r="N125" i="1"/>
  <c r="M125" i="1"/>
  <c r="L125" i="1"/>
  <c r="K125" i="1"/>
  <c r="N124" i="1"/>
  <c r="M124" i="1"/>
  <c r="L124" i="1"/>
  <c r="K124" i="1"/>
  <c r="N123" i="1"/>
  <c r="M123" i="1"/>
  <c r="L123" i="1"/>
  <c r="K123" i="1"/>
  <c r="N122" i="1"/>
  <c r="M122" i="1"/>
  <c r="L122" i="1"/>
  <c r="K122" i="1"/>
  <c r="N121" i="1"/>
  <c r="M121" i="1"/>
  <c r="L121" i="1"/>
  <c r="K121" i="1"/>
  <c r="N120" i="1"/>
  <c r="M120" i="1"/>
  <c r="L120" i="1"/>
  <c r="K120" i="1"/>
  <c r="V91" i="1"/>
  <c r="V95" i="1"/>
  <c r="V99" i="1"/>
  <c r="U90" i="1"/>
  <c r="U94" i="1"/>
  <c r="U98" i="1"/>
  <c r="T89" i="1"/>
  <c r="T93" i="1"/>
  <c r="T97" i="1"/>
  <c r="S92" i="1"/>
  <c r="S96" i="1"/>
  <c r="S100" i="1"/>
  <c r="R98" i="1"/>
  <c r="R94" i="1"/>
  <c r="R90" i="1"/>
  <c r="R101" i="1"/>
  <c r="V89" i="1"/>
  <c r="V93" i="1"/>
  <c r="V97" i="1"/>
  <c r="U92" i="1"/>
  <c r="U96" i="1"/>
  <c r="U100" i="1"/>
  <c r="T91" i="1"/>
  <c r="T95" i="1"/>
  <c r="T99" i="1"/>
  <c r="S90" i="1"/>
  <c r="S94" i="1"/>
  <c r="S98" i="1"/>
  <c r="R100" i="1"/>
  <c r="R96" i="1"/>
  <c r="R92" i="1"/>
  <c r="D7" i="17" a="1"/>
  <c r="B28" i="14"/>
  <c r="B25" i="14"/>
  <c r="B29" i="14"/>
  <c r="B31" i="14"/>
  <c r="B26" i="14"/>
  <c r="AJ61" i="1"/>
  <c r="L15" i="17"/>
  <c r="K16" i="17"/>
  <c r="J17" i="17"/>
  <c r="N17" i="17"/>
  <c r="M18" i="17"/>
  <c r="L19" i="17"/>
  <c r="D41" i="19"/>
  <c r="D37" i="19"/>
  <c r="D33" i="19"/>
  <c r="D29" i="19"/>
  <c r="D25" i="19"/>
  <c r="D21" i="19"/>
  <c r="D17" i="19"/>
  <c r="D13" i="19"/>
  <c r="D9" i="19"/>
  <c r="D5" i="19"/>
  <c r="G41" i="19"/>
  <c r="G37" i="19"/>
  <c r="G33" i="19"/>
  <c r="G29" i="19"/>
  <c r="G25" i="19"/>
  <c r="G21" i="19"/>
  <c r="G17" i="19"/>
  <c r="G13" i="19"/>
  <c r="G9" i="19"/>
  <c r="G5" i="19"/>
  <c r="B41" i="19"/>
  <c r="B37" i="19"/>
  <c r="B33" i="19"/>
  <c r="B29" i="19"/>
  <c r="B25" i="19"/>
  <c r="B21" i="19"/>
  <c r="B17" i="19"/>
  <c r="B13" i="19"/>
  <c r="B9" i="19"/>
  <c r="B5" i="19"/>
  <c r="AI61" i="1"/>
  <c r="D40" i="19"/>
  <c r="D36" i="19"/>
  <c r="D32" i="19"/>
  <c r="D28" i="19"/>
  <c r="D24" i="19"/>
  <c r="D20" i="19"/>
  <c r="D16" i="19"/>
  <c r="D12" i="19"/>
  <c r="D8" i="19"/>
  <c r="D4" i="19"/>
  <c r="G40" i="19"/>
  <c r="G36" i="19"/>
  <c r="G32" i="19"/>
  <c r="G28" i="19"/>
  <c r="G24" i="19"/>
  <c r="G20" i="19"/>
  <c r="G16" i="19"/>
  <c r="G12" i="19"/>
  <c r="G8" i="19"/>
  <c r="G4" i="19"/>
  <c r="B40" i="19"/>
  <c r="B36" i="19"/>
  <c r="B32" i="19"/>
  <c r="B28" i="19"/>
  <c r="B24" i="19"/>
  <c r="B20" i="19"/>
  <c r="B16" i="19"/>
  <c r="B12" i="19"/>
  <c r="B8" i="19"/>
  <c r="B4" i="19"/>
  <c r="AL61" i="1"/>
  <c r="J15" i="17"/>
  <c r="N15" i="17"/>
  <c r="M16" i="17"/>
  <c r="L17" i="17"/>
  <c r="K18" i="17"/>
  <c r="J19" i="17"/>
  <c r="D43" i="19"/>
  <c r="D39" i="19"/>
  <c r="D35" i="19"/>
  <c r="D31" i="19"/>
  <c r="D27" i="19"/>
  <c r="D23" i="19"/>
  <c r="D19" i="19"/>
  <c r="D15" i="19"/>
  <c r="D11" i="19"/>
  <c r="D7" i="19"/>
  <c r="G43" i="19"/>
  <c r="G39" i="19"/>
  <c r="G35" i="19"/>
  <c r="G31" i="19"/>
  <c r="G27" i="19"/>
  <c r="G23" i="19"/>
  <c r="G19" i="19"/>
  <c r="G15" i="19"/>
  <c r="G11" i="19"/>
  <c r="G7" i="19"/>
  <c r="B43" i="19"/>
  <c r="B39" i="19"/>
  <c r="B35" i="19"/>
  <c r="B31" i="19"/>
  <c r="B27" i="19"/>
  <c r="B23" i="19"/>
  <c r="B19" i="19"/>
  <c r="B15" i="19"/>
  <c r="B11" i="19"/>
  <c r="B7" i="19"/>
  <c r="S101" i="1"/>
  <c r="R105" i="1" a="1"/>
  <c r="R105" i="1" s="1"/>
  <c r="U104" i="1" a="1"/>
  <c r="U104" i="1"/>
  <c r="V101" i="1"/>
  <c r="V105" i="1" a="1"/>
  <c r="V105" i="1" s="1"/>
  <c r="T108" i="1" a="1"/>
  <c r="T108" i="1" s="1"/>
  <c r="V107" i="1" a="1"/>
  <c r="V107" i="1" s="1"/>
  <c r="U108" i="1" a="1"/>
  <c r="U108" i="1"/>
  <c r="R108" i="1" a="1"/>
  <c r="R108" i="1" s="1"/>
  <c r="V108" i="1" a="1"/>
  <c r="V108" i="1" s="1"/>
  <c r="V104" i="1" a="1"/>
  <c r="V104" i="1" s="1"/>
  <c r="S108" i="1" a="1"/>
  <c r="S108" i="1"/>
  <c r="R107" i="1" a="1"/>
  <c r="R107" i="1" s="1"/>
  <c r="U105" i="1" a="1"/>
  <c r="U105" i="1" s="1"/>
  <c r="D10" i="17"/>
  <c r="D15" i="17" s="1" a="1"/>
  <c r="D9" i="17"/>
  <c r="D12" i="17"/>
  <c r="D8" i="17"/>
  <c r="D11" i="17"/>
  <c r="D7" i="17"/>
  <c r="S104" i="1" a="1"/>
  <c r="S104" i="1"/>
  <c r="R104" i="1" a="1"/>
  <c r="R104" i="1"/>
  <c r="T101" i="1"/>
  <c r="T104" i="1" a="1"/>
  <c r="T104" i="1" s="1"/>
  <c r="U106" i="1" a="1"/>
  <c r="U106" i="1" s="1"/>
  <c r="R106" i="1" a="1"/>
  <c r="R106" i="1" s="1"/>
  <c r="T105" i="1" a="1"/>
  <c r="T105" i="1" s="1"/>
  <c r="S106" i="1" a="1"/>
  <c r="S106" i="1" s="1"/>
  <c r="T106" i="1" a="1"/>
  <c r="T106" i="1" s="1"/>
  <c r="V106" i="1" a="1"/>
  <c r="V106" i="1" s="1"/>
  <c r="T107" i="1" a="1"/>
  <c r="T107" i="1" s="1"/>
  <c r="U101" i="1"/>
  <c r="U107" i="1" a="1"/>
  <c r="U107" i="1" s="1"/>
  <c r="R137" i="1" a="1"/>
  <c r="R116" i="1" a="1"/>
  <c r="S125" i="1" a="1"/>
  <c r="S116" i="1" a="1"/>
  <c r="R129" i="1" a="1"/>
  <c r="U112" i="1" a="1"/>
  <c r="U116" i="1" a="1"/>
  <c r="S114" i="1" a="1"/>
  <c r="T121" i="1" a="1"/>
  <c r="R114" i="1" a="1"/>
  <c r="S133" i="1" a="1"/>
  <c r="T113" i="1" a="1"/>
  <c r="T116" i="1" a="1"/>
  <c r="S129" i="1" a="1"/>
  <c r="R121" i="1" a="1"/>
  <c r="V113" i="1" a="1"/>
  <c r="T129" i="1" a="1"/>
  <c r="R125" i="1" a="1"/>
  <c r="S137" i="1" a="1"/>
  <c r="R115" i="1" a="1"/>
  <c r="U115" i="1" a="1"/>
  <c r="V112" i="1" a="1"/>
  <c r="V116" i="1" a="1"/>
  <c r="R133" i="1" a="1"/>
  <c r="T114" i="1" a="1"/>
  <c r="V115" i="1" a="1"/>
  <c r="T125" i="1" a="1"/>
  <c r="Y65" i="1" a="1"/>
  <c r="T137" i="1" a="1"/>
  <c r="T133" i="1" a="1"/>
  <c r="U113" i="1" a="1"/>
  <c r="U114" i="1" a="1"/>
  <c r="S115" i="1" a="1"/>
  <c r="V114" i="1" a="1"/>
  <c r="S113" i="1" a="1"/>
  <c r="S121" i="1" a="1"/>
  <c r="R113" i="1" a="1"/>
  <c r="R112" i="1" a="1"/>
  <c r="S112" i="1" a="1"/>
  <c r="T112" i="1" a="1"/>
  <c r="U137" i="1" a="1"/>
  <c r="T115" i="1" a="1"/>
  <c r="F163" i="1" l="1"/>
  <c r="F155" i="1"/>
  <c r="F147" i="1"/>
  <c r="F139" i="1"/>
  <c r="F131" i="1"/>
  <c r="F123" i="1"/>
  <c r="F115" i="1"/>
  <c r="F107" i="1"/>
  <c r="F99" i="1"/>
  <c r="F91" i="1"/>
  <c r="F83" i="1"/>
  <c r="F75" i="1"/>
  <c r="F67" i="1"/>
  <c r="F59" i="1"/>
  <c r="F51" i="1"/>
  <c r="F43" i="1"/>
  <c r="F35" i="1"/>
  <c r="F27" i="1"/>
  <c r="F19" i="1"/>
  <c r="F11" i="1"/>
  <c r="F3" i="1"/>
  <c r="F162" i="1"/>
  <c r="F154" i="1"/>
  <c r="F146" i="1"/>
  <c r="F138" i="1"/>
  <c r="F130" i="1"/>
  <c r="F122" i="1"/>
  <c r="F114" i="1"/>
  <c r="F106" i="1"/>
  <c r="F98" i="1"/>
  <c r="F90" i="1"/>
  <c r="F82" i="1"/>
  <c r="F74" i="1"/>
  <c r="F66" i="1"/>
  <c r="F58" i="1"/>
  <c r="F50" i="1"/>
  <c r="F42" i="1"/>
  <c r="F34" i="1"/>
  <c r="F26" i="1"/>
  <c r="F18" i="1"/>
  <c r="F10" i="1"/>
  <c r="F2" i="1"/>
  <c r="F159" i="1"/>
  <c r="F151" i="1"/>
  <c r="F143" i="1"/>
  <c r="F135" i="1"/>
  <c r="F127" i="1"/>
  <c r="F119" i="1"/>
  <c r="F111" i="1"/>
  <c r="F103" i="1"/>
  <c r="F95" i="1"/>
  <c r="F87" i="1"/>
  <c r="F79" i="1"/>
  <c r="F71" i="1"/>
  <c r="F63" i="1"/>
  <c r="F55" i="1"/>
  <c r="F47" i="1"/>
  <c r="F39" i="1"/>
  <c r="F31" i="1"/>
  <c r="F23" i="1"/>
  <c r="F15" i="1"/>
  <c r="F7" i="1"/>
  <c r="F166" i="1"/>
  <c r="F158" i="1"/>
  <c r="F150" i="1"/>
  <c r="F142" i="1"/>
  <c r="F134" i="1"/>
  <c r="F126" i="1"/>
  <c r="F118" i="1"/>
  <c r="F110" i="1"/>
  <c r="F102" i="1"/>
  <c r="F94" i="1"/>
  <c r="F86" i="1"/>
  <c r="F78" i="1"/>
  <c r="F70" i="1"/>
  <c r="F62" i="1"/>
  <c r="F54" i="1"/>
  <c r="F46" i="1"/>
  <c r="F38" i="1"/>
  <c r="F30" i="1"/>
  <c r="F22" i="1"/>
  <c r="F14" i="1"/>
  <c r="F6" i="1"/>
  <c r="AL93" i="1"/>
  <c r="AK61" i="1"/>
  <c r="AM61" i="1" s="1" a="1"/>
  <c r="AM61" i="1" s="1"/>
  <c r="F165" i="1"/>
  <c r="F161" i="1"/>
  <c r="F157" i="1"/>
  <c r="F153" i="1"/>
  <c r="F149" i="1"/>
  <c r="F145" i="1"/>
  <c r="F141" i="1"/>
  <c r="F137" i="1"/>
  <c r="F133" i="1"/>
  <c r="F129" i="1"/>
  <c r="F125" i="1"/>
  <c r="F121" i="1"/>
  <c r="F117" i="1"/>
  <c r="F113" i="1"/>
  <c r="F109" i="1"/>
  <c r="F105" i="1"/>
  <c r="F101" i="1"/>
  <c r="F97" i="1"/>
  <c r="F93" i="1"/>
  <c r="F89" i="1"/>
  <c r="F85" i="1"/>
  <c r="F81" i="1"/>
  <c r="F77" i="1"/>
  <c r="F73" i="1"/>
  <c r="F69" i="1"/>
  <c r="F65" i="1"/>
  <c r="F61" i="1"/>
  <c r="F57" i="1"/>
  <c r="F53" i="1"/>
  <c r="F49" i="1"/>
  <c r="F45" i="1"/>
  <c r="F41" i="1"/>
  <c r="F37" i="1"/>
  <c r="F33" i="1"/>
  <c r="F29" i="1"/>
  <c r="F25" i="1"/>
  <c r="F21" i="1"/>
  <c r="F17" i="1"/>
  <c r="F13" i="1"/>
  <c r="F9" i="1"/>
  <c r="F5" i="1"/>
  <c r="F164" i="1"/>
  <c r="F160" i="1"/>
  <c r="F156" i="1"/>
  <c r="F152" i="1"/>
  <c r="F148" i="1"/>
  <c r="F144" i="1"/>
  <c r="F140" i="1"/>
  <c r="F136" i="1"/>
  <c r="F132" i="1"/>
  <c r="F128" i="1"/>
  <c r="F124" i="1"/>
  <c r="F120" i="1"/>
  <c r="F116" i="1"/>
  <c r="F112" i="1"/>
  <c r="F108" i="1"/>
  <c r="F104" i="1"/>
  <c r="F100" i="1"/>
  <c r="F96" i="1"/>
  <c r="F92" i="1"/>
  <c r="F88" i="1"/>
  <c r="F84" i="1"/>
  <c r="F80" i="1"/>
  <c r="F76" i="1"/>
  <c r="F72" i="1"/>
  <c r="F68" i="1"/>
  <c r="F64" i="1"/>
  <c r="F60" i="1"/>
  <c r="F56" i="1"/>
  <c r="F52" i="1"/>
  <c r="F48" i="1"/>
  <c r="F44" i="1"/>
  <c r="F40" i="1"/>
  <c r="F36" i="1"/>
  <c r="F32" i="1"/>
  <c r="F28" i="1"/>
  <c r="F24" i="1"/>
  <c r="F20" i="1"/>
  <c r="F16" i="1"/>
  <c r="F12" i="1"/>
  <c r="F8" i="1"/>
  <c r="C28" i="1"/>
  <c r="C95" i="1"/>
  <c r="C24" i="1"/>
  <c r="C54" i="1"/>
  <c r="C4" i="1"/>
  <c r="C127" i="1"/>
  <c r="C12" i="1"/>
  <c r="C159" i="1"/>
  <c r="C5" i="1"/>
  <c r="C111" i="1"/>
  <c r="C32" i="1"/>
  <c r="C143" i="1"/>
  <c r="C75" i="1"/>
  <c r="C151" i="1"/>
  <c r="C135" i="1"/>
  <c r="C119" i="1"/>
  <c r="C103" i="1"/>
  <c r="C86" i="1"/>
  <c r="C64" i="1"/>
  <c r="C43" i="1"/>
  <c r="C19" i="1"/>
  <c r="C8" i="1"/>
  <c r="C166" i="1"/>
  <c r="C150" i="1"/>
  <c r="C134" i="1"/>
  <c r="C118" i="1"/>
  <c r="C102" i="1"/>
  <c r="C84" i="1"/>
  <c r="C63" i="1"/>
  <c r="C42" i="1"/>
  <c r="C17" i="1"/>
  <c r="C158" i="1"/>
  <c r="C142" i="1"/>
  <c r="C126" i="1"/>
  <c r="C110" i="1"/>
  <c r="C94" i="1"/>
  <c r="C74" i="1"/>
  <c r="C52" i="1"/>
  <c r="C31" i="1"/>
  <c r="B36" i="1"/>
  <c r="B100" i="1"/>
  <c r="B166" i="1"/>
  <c r="B51" i="1"/>
  <c r="B67" i="1"/>
  <c r="B4" i="1"/>
  <c r="C20" i="1"/>
  <c r="B22" i="1"/>
  <c r="B61" i="1"/>
  <c r="C162" i="1"/>
  <c r="C154" i="1"/>
  <c r="C146" i="1"/>
  <c r="C138" i="1"/>
  <c r="C130" i="1"/>
  <c r="C122" i="1"/>
  <c r="C114" i="1"/>
  <c r="C106" i="1"/>
  <c r="C98" i="1"/>
  <c r="C90" i="1"/>
  <c r="C79" i="1"/>
  <c r="C68" i="1"/>
  <c r="C58" i="1"/>
  <c r="C47" i="1"/>
  <c r="C36" i="1"/>
  <c r="C25" i="1"/>
  <c r="C10" i="1"/>
  <c r="B131" i="1"/>
  <c r="B86" i="1"/>
  <c r="C163" i="1"/>
  <c r="C155" i="1"/>
  <c r="C147" i="1"/>
  <c r="C139" i="1"/>
  <c r="C131" i="1"/>
  <c r="C123" i="1"/>
  <c r="C115" i="1"/>
  <c r="C107" i="1"/>
  <c r="C99" i="1"/>
  <c r="C91" i="1"/>
  <c r="C80" i="1"/>
  <c r="C70" i="1"/>
  <c r="C59" i="1"/>
  <c r="C48" i="1"/>
  <c r="C38" i="1"/>
  <c r="C26" i="1"/>
  <c r="C11" i="1"/>
  <c r="B102" i="1"/>
  <c r="B9" i="1"/>
  <c r="B29" i="1"/>
  <c r="B93" i="1"/>
  <c r="B157" i="1"/>
  <c r="B134" i="1"/>
  <c r="B70" i="1"/>
  <c r="B6" i="1"/>
  <c r="B148" i="1"/>
  <c r="B84" i="1"/>
  <c r="B20" i="1"/>
  <c r="B163" i="1"/>
  <c r="B99" i="1"/>
  <c r="B35" i="1"/>
  <c r="B13" i="1"/>
  <c r="B77" i="1"/>
  <c r="B141" i="1"/>
  <c r="B147" i="1"/>
  <c r="B116" i="1"/>
  <c r="B83" i="1"/>
  <c r="B52" i="1"/>
  <c r="B132" i="1"/>
  <c r="B38" i="1"/>
  <c r="B118" i="1"/>
  <c r="B125" i="1"/>
  <c r="B19" i="1"/>
  <c r="B115" i="1"/>
  <c r="B68" i="1"/>
  <c r="B164" i="1"/>
  <c r="B54" i="1"/>
  <c r="B150" i="1"/>
  <c r="B109" i="1"/>
  <c r="C164" i="1"/>
  <c r="C160" i="1"/>
  <c r="C156" i="1"/>
  <c r="C152" i="1"/>
  <c r="C148" i="1"/>
  <c r="C144" i="1"/>
  <c r="C140" i="1"/>
  <c r="C136" i="1"/>
  <c r="C132" i="1"/>
  <c r="C128" i="1"/>
  <c r="C124" i="1"/>
  <c r="C120" i="1"/>
  <c r="C116" i="1"/>
  <c r="C112" i="1"/>
  <c r="C108" i="1"/>
  <c r="C104" i="1"/>
  <c r="C100" i="1"/>
  <c r="C96" i="1"/>
  <c r="C92" i="1"/>
  <c r="C87" i="1"/>
  <c r="C82" i="1"/>
  <c r="C76" i="1"/>
  <c r="C71" i="1"/>
  <c r="C66" i="1"/>
  <c r="C60" i="1"/>
  <c r="C55" i="1"/>
  <c r="C50" i="1"/>
  <c r="C44" i="1"/>
  <c r="C39" i="1"/>
  <c r="C34" i="1"/>
  <c r="C27" i="1"/>
  <c r="C21" i="1"/>
  <c r="C14" i="1"/>
  <c r="C6" i="1"/>
  <c r="C3" i="1"/>
  <c r="C16" i="1"/>
  <c r="C165" i="1"/>
  <c r="C161" i="1"/>
  <c r="C157" i="1"/>
  <c r="C153" i="1"/>
  <c r="C149" i="1"/>
  <c r="C145" i="1"/>
  <c r="C141" i="1"/>
  <c r="C137" i="1"/>
  <c r="C133" i="1"/>
  <c r="C129" i="1"/>
  <c r="C125" i="1"/>
  <c r="C121" i="1"/>
  <c r="C117" i="1"/>
  <c r="C113" i="1"/>
  <c r="C109" i="1"/>
  <c r="C105" i="1"/>
  <c r="C101" i="1"/>
  <c r="C97" i="1"/>
  <c r="C93" i="1"/>
  <c r="C88" i="1"/>
  <c r="C83" i="1"/>
  <c r="C78" i="1"/>
  <c r="C72" i="1"/>
  <c r="C67" i="1"/>
  <c r="C62" i="1"/>
  <c r="C56" i="1"/>
  <c r="C51" i="1"/>
  <c r="C46" i="1"/>
  <c r="C40" i="1"/>
  <c r="C35" i="1"/>
  <c r="C30" i="1"/>
  <c r="C22" i="1"/>
  <c r="C15" i="1"/>
  <c r="Y65" i="1"/>
  <c r="G16" i="17"/>
  <c r="H19" i="17"/>
  <c r="G17" i="17"/>
  <c r="E16" i="17"/>
  <c r="F19" i="17"/>
  <c r="F16" i="17"/>
  <c r="F17" i="17"/>
  <c r="E15" i="17"/>
  <c r="F18" i="17"/>
  <c r="D17" i="17"/>
  <c r="D18" i="17"/>
  <c r="G19" i="17"/>
  <c r="D15" i="17"/>
  <c r="E18" i="17"/>
  <c r="D16" i="17"/>
  <c r="E19" i="17"/>
  <c r="H17" i="17"/>
  <c r="G15" i="17"/>
  <c r="E17" i="17"/>
  <c r="H15" i="17"/>
  <c r="D19" i="17"/>
  <c r="H16" i="17"/>
  <c r="F15" i="17"/>
  <c r="G18" i="17"/>
  <c r="H18" i="17"/>
  <c r="S105" i="1" a="1"/>
  <c r="S105" i="1" s="1"/>
  <c r="S107" i="1" a="1"/>
  <c r="S107" i="1" s="1"/>
  <c r="B11" i="1"/>
  <c r="B27" i="1"/>
  <c r="B43" i="1"/>
  <c r="B59" i="1"/>
  <c r="B75" i="1"/>
  <c r="B91" i="1"/>
  <c r="B107" i="1"/>
  <c r="B123" i="1"/>
  <c r="B139" i="1"/>
  <c r="B155" i="1"/>
  <c r="B12" i="1"/>
  <c r="B28" i="1"/>
  <c r="B44" i="1"/>
  <c r="B60" i="1"/>
  <c r="B76" i="1"/>
  <c r="B92" i="1"/>
  <c r="B108" i="1"/>
  <c r="B124" i="1"/>
  <c r="B140" i="1"/>
  <c r="B156" i="1"/>
  <c r="B14" i="1"/>
  <c r="B30" i="1"/>
  <c r="B46" i="1"/>
  <c r="B62" i="1"/>
  <c r="B78" i="1"/>
  <c r="B94" i="1"/>
  <c r="B110" i="1"/>
  <c r="B126" i="1"/>
  <c r="B142" i="1"/>
  <c r="B158" i="1"/>
  <c r="B165" i="1"/>
  <c r="B149" i="1"/>
  <c r="B133" i="1"/>
  <c r="B117" i="1"/>
  <c r="B101" i="1"/>
  <c r="B85" i="1"/>
  <c r="B69" i="1"/>
  <c r="B53" i="1"/>
  <c r="B37" i="1"/>
  <c r="B21" i="1"/>
  <c r="B5" i="1"/>
  <c r="B15" i="1"/>
  <c r="B31" i="1"/>
  <c r="B47" i="1"/>
  <c r="B63" i="1"/>
  <c r="B79" i="1"/>
  <c r="B95" i="1"/>
  <c r="B111" i="1"/>
  <c r="B127" i="1"/>
  <c r="B143" i="1"/>
  <c r="B159" i="1"/>
  <c r="B16" i="1"/>
  <c r="B32" i="1"/>
  <c r="B48" i="1"/>
  <c r="B64" i="1"/>
  <c r="B80" i="1"/>
  <c r="B96" i="1"/>
  <c r="B112" i="1"/>
  <c r="B128" i="1"/>
  <c r="B144" i="1"/>
  <c r="B160" i="1"/>
  <c r="B2" i="1"/>
  <c r="B18" i="1"/>
  <c r="B34" i="1"/>
  <c r="B50" i="1"/>
  <c r="B66" i="1"/>
  <c r="B82" i="1"/>
  <c r="B98" i="1"/>
  <c r="B114" i="1"/>
  <c r="B130" i="1"/>
  <c r="B146" i="1"/>
  <c r="B162" i="1"/>
  <c r="B161" i="1"/>
  <c r="B145" i="1"/>
  <c r="B129" i="1"/>
  <c r="B113" i="1"/>
  <c r="B97" i="1"/>
  <c r="B81" i="1"/>
  <c r="B65" i="1"/>
  <c r="B49" i="1"/>
  <c r="B33" i="1"/>
  <c r="B17" i="1"/>
  <c r="B3" i="1"/>
  <c r="B7" i="1"/>
  <c r="B23" i="1"/>
  <c r="B39" i="1"/>
  <c r="B55" i="1"/>
  <c r="B71" i="1"/>
  <c r="B87" i="1"/>
  <c r="B103" i="1"/>
  <c r="B119" i="1"/>
  <c r="B135" i="1"/>
  <c r="B151" i="1"/>
  <c r="B8" i="1"/>
  <c r="B24" i="1"/>
  <c r="B40" i="1"/>
  <c r="B56" i="1"/>
  <c r="B72" i="1"/>
  <c r="B88" i="1"/>
  <c r="B104" i="1"/>
  <c r="B120" i="1"/>
  <c r="B136" i="1"/>
  <c r="B152" i="1"/>
  <c r="B10" i="1"/>
  <c r="B26" i="1"/>
  <c r="B42" i="1"/>
  <c r="B58" i="1"/>
  <c r="B74" i="1"/>
  <c r="B90" i="1"/>
  <c r="B106" i="1"/>
  <c r="B122" i="1"/>
  <c r="B138" i="1"/>
  <c r="B154" i="1"/>
  <c r="B153" i="1"/>
  <c r="B137" i="1"/>
  <c r="B121" i="1"/>
  <c r="B105" i="1"/>
  <c r="B89" i="1"/>
  <c r="B73" i="1"/>
  <c r="B57" i="1"/>
  <c r="B41" i="1"/>
  <c r="B25" i="1"/>
  <c r="C2" i="1"/>
  <c r="C7" i="1"/>
  <c r="C13" i="1"/>
  <c r="C18" i="1"/>
  <c r="C23" i="1"/>
  <c r="C29" i="1"/>
  <c r="C33" i="1"/>
  <c r="C37" i="1"/>
  <c r="C41" i="1"/>
  <c r="C45" i="1"/>
  <c r="C49" i="1"/>
  <c r="C53" i="1"/>
  <c r="C57" i="1"/>
  <c r="C61" i="1"/>
  <c r="C65" i="1"/>
  <c r="C69" i="1"/>
  <c r="C73" i="1"/>
  <c r="C77" i="1"/>
  <c r="C81" i="1"/>
  <c r="C85" i="1"/>
  <c r="C89" i="1"/>
  <c r="B34" i="19"/>
  <c r="B18" i="19"/>
  <c r="I31" i="14"/>
  <c r="K30" i="14"/>
  <c r="G30" i="14"/>
  <c r="I29" i="14"/>
  <c r="K28" i="14"/>
  <c r="G28" i="14"/>
  <c r="I27" i="14"/>
  <c r="K26" i="14"/>
  <c r="G26" i="14"/>
  <c r="L16" i="17"/>
  <c r="J18" i="17"/>
  <c r="M19" i="17"/>
  <c r="C43" i="19"/>
  <c r="C39" i="19"/>
  <c r="C35" i="19"/>
  <c r="C31" i="19"/>
  <c r="C27" i="19"/>
  <c r="C23" i="19"/>
  <c r="C19" i="19"/>
  <c r="C15" i="19"/>
  <c r="C11" i="19"/>
  <c r="D38" i="19"/>
  <c r="D22" i="19"/>
  <c r="D6" i="19"/>
  <c r="F43" i="19"/>
  <c r="F39" i="19"/>
  <c r="F35" i="19"/>
  <c r="F31" i="19"/>
  <c r="F27" i="19"/>
  <c r="F23" i="19"/>
  <c r="F19" i="19"/>
  <c r="F15" i="19"/>
  <c r="F11" i="19"/>
  <c r="G38" i="19"/>
  <c r="G22" i="19"/>
  <c r="G6" i="19"/>
  <c r="B30" i="19"/>
  <c r="B14" i="19"/>
  <c r="B3" i="19"/>
  <c r="K29" i="19" s="1"/>
  <c r="E41" i="19"/>
  <c r="E37" i="19"/>
  <c r="E33" i="19"/>
  <c r="E29" i="19"/>
  <c r="E25" i="19"/>
  <c r="E21" i="19"/>
  <c r="E17" i="19"/>
  <c r="E13" i="19"/>
  <c r="E9" i="19"/>
  <c r="E5" i="19"/>
  <c r="M15" i="17"/>
  <c r="N25" i="17" s="1"/>
  <c r="K17" i="17"/>
  <c r="N18" i="17"/>
  <c r="D30" i="19"/>
  <c r="D14" i="19"/>
  <c r="G30" i="19"/>
  <c r="G14" i="19"/>
  <c r="B38" i="19"/>
  <c r="B22" i="19"/>
  <c r="E43" i="19"/>
  <c r="E39" i="19"/>
  <c r="E35" i="19"/>
  <c r="E31" i="19"/>
  <c r="E27" i="19"/>
  <c r="E23" i="19"/>
  <c r="E19" i="19"/>
  <c r="E15" i="19"/>
  <c r="E11" i="19"/>
  <c r="E7" i="19"/>
  <c r="T112" i="1"/>
  <c r="S137" i="1"/>
  <c r="R114" i="1"/>
  <c r="U114" i="1"/>
  <c r="R137" i="1"/>
  <c r="V113" i="1"/>
  <c r="T116" i="1"/>
  <c r="T114" i="1"/>
  <c r="R125" i="1"/>
  <c r="R113" i="1"/>
  <c r="V114" i="1"/>
  <c r="U116" i="1"/>
  <c r="S113" i="1"/>
  <c r="U112" i="1"/>
  <c r="V116" i="1"/>
  <c r="S114" i="1"/>
  <c r="S133" i="1"/>
  <c r="R133" i="1"/>
  <c r="U137" i="1"/>
  <c r="T125" i="1"/>
  <c r="T113" i="1"/>
  <c r="T129" i="1"/>
  <c r="R112" i="1"/>
  <c r="R121" i="1"/>
  <c r="S116" i="1"/>
  <c r="T137" i="1"/>
  <c r="T115" i="1"/>
  <c r="R115" i="1"/>
  <c r="S121" i="1"/>
  <c r="S115" i="1"/>
  <c r="V115" i="1"/>
  <c r="S112" i="1"/>
  <c r="V112" i="1"/>
  <c r="S129" i="1"/>
  <c r="R116" i="1"/>
  <c r="R129" i="1"/>
  <c r="T133" i="1"/>
  <c r="S125" i="1"/>
  <c r="U113" i="1"/>
  <c r="T121" i="1"/>
  <c r="U115" i="1"/>
  <c r="O66" i="1" a="1"/>
  <c r="O66" i="1" s="1"/>
  <c r="AL94" i="1" l="1"/>
  <c r="AK95" i="1" s="1"/>
  <c r="G169" i="1" a="1"/>
  <c r="G169" i="1" s="1"/>
  <c r="G2" i="1" a="1"/>
  <c r="G124" i="1" s="1"/>
  <c r="J62" i="1" a="1"/>
  <c r="J62" i="1" s="1"/>
  <c r="L14" i="1" a="1"/>
  <c r="L14" i="1" s="1"/>
  <c r="K16" i="1" a="1"/>
  <c r="K16" i="1" s="1"/>
  <c r="M12" i="1" a="1"/>
  <c r="M12" i="1" s="1"/>
  <c r="K13" i="1" a="1"/>
  <c r="K13" i="1" s="1"/>
  <c r="P15" i="1" a="1"/>
  <c r="P15" i="1" s="1"/>
  <c r="L16" i="1" a="1"/>
  <c r="L16" i="1" s="1"/>
  <c r="N13" i="1" a="1"/>
  <c r="N13" i="1" s="1"/>
  <c r="O12" i="1" a="1"/>
  <c r="O12" i="1" s="1"/>
  <c r="N16" i="1" a="1"/>
  <c r="N16" i="1" s="1"/>
  <c r="M16" i="1" a="1"/>
  <c r="M16" i="1" s="1"/>
  <c r="N15" i="1" a="1"/>
  <c r="N15" i="1" s="1"/>
  <c r="K14" i="1" a="1"/>
  <c r="K14" i="1" s="1"/>
  <c r="L13" i="1" a="1"/>
  <c r="L13" i="1" s="1"/>
  <c r="O15" i="1" a="1"/>
  <c r="O15" i="1" s="1"/>
  <c r="P16" i="1" a="1"/>
  <c r="P16" i="1" s="1"/>
  <c r="P12" i="1" a="1"/>
  <c r="P12" i="1" s="1"/>
  <c r="K15" i="1" a="1"/>
  <c r="K15" i="1" s="1"/>
  <c r="L15" i="1" a="1"/>
  <c r="L15" i="1" s="1"/>
  <c r="O13" i="1" a="1"/>
  <c r="O13" i="1" s="1"/>
  <c r="M14" i="1" a="1"/>
  <c r="M14" i="1" s="1"/>
  <c r="M15" i="1" a="1"/>
  <c r="M15" i="1" s="1"/>
  <c r="P14" i="1" a="1"/>
  <c r="P14" i="1" s="1"/>
  <c r="O16" i="1" a="1"/>
  <c r="O16" i="1" s="1"/>
  <c r="N14" i="1" a="1"/>
  <c r="N14" i="1" s="1"/>
  <c r="M13" i="1" a="1"/>
  <c r="M13" i="1" s="1"/>
  <c r="L12" i="1" a="1"/>
  <c r="L12" i="1" s="1"/>
  <c r="N12" i="1" a="1"/>
  <c r="N12" i="1" s="1"/>
  <c r="P13" i="1" a="1"/>
  <c r="P13" i="1" s="1"/>
  <c r="O14" i="1" a="1"/>
  <c r="O14" i="1" s="1"/>
  <c r="K12" i="1" a="1"/>
  <c r="K12" i="1" s="1"/>
  <c r="AK96" i="1" l="1" a="1"/>
  <c r="AK96" i="1" s="1"/>
  <c r="L17" i="1"/>
  <c r="G64" i="1"/>
  <c r="G83" i="1"/>
  <c r="G18" i="1"/>
  <c r="G150" i="1"/>
  <c r="G59" i="1"/>
  <c r="G111" i="1"/>
  <c r="G33" i="1"/>
  <c r="G56" i="1"/>
  <c r="G142" i="1"/>
  <c r="G95" i="1"/>
  <c r="G116" i="1"/>
  <c r="G57" i="1"/>
  <c r="G12" i="1"/>
  <c r="G25" i="1"/>
  <c r="G79" i="1"/>
  <c r="G127" i="1"/>
  <c r="G52" i="1"/>
  <c r="G10" i="1"/>
  <c r="G157" i="1"/>
  <c r="G110" i="1"/>
  <c r="G143" i="1"/>
  <c r="G107" i="1"/>
  <c r="G118" i="1"/>
  <c r="G122" i="1"/>
  <c r="G48" i="1"/>
  <c r="G54" i="1"/>
  <c r="G112" i="1"/>
  <c r="G74" i="1"/>
  <c r="G80" i="1"/>
  <c r="G8" i="1"/>
  <c r="G46" i="1"/>
  <c r="G135" i="1"/>
  <c r="G139" i="1"/>
  <c r="G103" i="1"/>
  <c r="G50" i="1"/>
  <c r="G100" i="1"/>
  <c r="G161" i="1"/>
  <c r="G29" i="1"/>
  <c r="G155" i="1"/>
  <c r="G104" i="1"/>
  <c r="G72" i="1"/>
  <c r="G37" i="1"/>
  <c r="G62" i="1"/>
  <c r="G166" i="1"/>
  <c r="G22" i="1"/>
  <c r="G94" i="1"/>
  <c r="G67" i="1"/>
  <c r="G106" i="1"/>
  <c r="G47" i="1"/>
  <c r="G65" i="1"/>
  <c r="G86" i="1"/>
  <c r="G99" i="1"/>
  <c r="G145" i="1"/>
  <c r="G141" i="1"/>
  <c r="G96" i="1"/>
  <c r="G49" i="1"/>
  <c r="G149" i="1"/>
  <c r="G70" i="1"/>
  <c r="G15" i="1"/>
  <c r="G114" i="1"/>
  <c r="G76" i="1"/>
  <c r="G132" i="1"/>
  <c r="G53" i="1"/>
  <c r="G154" i="1"/>
  <c r="G78" i="1"/>
  <c r="G19" i="1"/>
  <c r="G119" i="1"/>
  <c r="G84" i="1"/>
  <c r="G136" i="1"/>
  <c r="G45" i="1"/>
  <c r="G117" i="1"/>
  <c r="G26" i="1"/>
  <c r="G91" i="1"/>
  <c r="G11" i="1"/>
  <c r="G75" i="1"/>
  <c r="G16" i="1"/>
  <c r="G105" i="1"/>
  <c r="G128" i="1"/>
  <c r="G151" i="1"/>
  <c r="G40" i="1"/>
  <c r="G89" i="1"/>
  <c r="G87" i="1"/>
  <c r="G81" i="1"/>
  <c r="G3" i="1"/>
  <c r="G41" i="1"/>
  <c r="G82" i="1"/>
  <c r="G144" i="1"/>
  <c r="G88" i="1"/>
  <c r="G165" i="1"/>
  <c r="G4" i="1"/>
  <c r="G2" i="1"/>
  <c r="G7" i="1"/>
  <c r="G120" i="1"/>
  <c r="G31" i="1"/>
  <c r="G44" i="1"/>
  <c r="G152" i="1"/>
  <c r="G69" i="1"/>
  <c r="G6" i="1"/>
  <c r="G97" i="1"/>
  <c r="G35" i="1"/>
  <c r="G146" i="1"/>
  <c r="G115" i="1"/>
  <c r="G160" i="1"/>
  <c r="G73" i="1"/>
  <c r="G14" i="1"/>
  <c r="G102" i="1"/>
  <c r="G39" i="1"/>
  <c r="G162" i="1"/>
  <c r="G121" i="1"/>
  <c r="G164" i="1"/>
  <c r="G61" i="1"/>
  <c r="G138" i="1"/>
  <c r="G42" i="1"/>
  <c r="G113" i="1"/>
  <c r="G27" i="1"/>
  <c r="G98" i="1"/>
  <c r="G36" i="1"/>
  <c r="G137" i="1"/>
  <c r="G148" i="1"/>
  <c r="G156" i="1"/>
  <c r="G130" i="1"/>
  <c r="G109" i="1"/>
  <c r="G92" i="1"/>
  <c r="G133" i="1"/>
  <c r="G93" i="1"/>
  <c r="G85" i="1"/>
  <c r="G23" i="1"/>
  <c r="G21" i="1"/>
  <c r="G17" i="1"/>
  <c r="G38" i="1"/>
  <c r="G126" i="1"/>
  <c r="G32" i="1"/>
  <c r="G71" i="1"/>
  <c r="G66" i="1"/>
  <c r="G51" i="1"/>
  <c r="G68" i="1"/>
  <c r="G5" i="1"/>
  <c r="G90" i="1"/>
  <c r="G30" i="1"/>
  <c r="G123" i="1"/>
  <c r="G55" i="1"/>
  <c r="G20" i="1"/>
  <c r="G147" i="1"/>
  <c r="G9" i="1"/>
  <c r="G101" i="1"/>
  <c r="G34" i="1"/>
  <c r="G129" i="1"/>
  <c r="G63" i="1"/>
  <c r="G28" i="1"/>
  <c r="G158" i="1"/>
  <c r="G13" i="1"/>
  <c r="G77" i="1"/>
  <c r="G159" i="1"/>
  <c r="G58" i="1"/>
  <c r="G134" i="1"/>
  <c r="G43" i="1"/>
  <c r="G125" i="1"/>
  <c r="G60" i="1"/>
  <c r="G163" i="1"/>
  <c r="G131" i="1"/>
  <c r="G108" i="1"/>
  <c r="G153" i="1"/>
  <c r="G140" i="1"/>
  <c r="G24" i="1"/>
  <c r="A13" i="16"/>
  <c r="K17" i="1"/>
  <c r="Q12" i="1"/>
  <c r="Q15" i="1"/>
  <c r="P17" i="1"/>
  <c r="Q14" i="1"/>
  <c r="O17" i="1"/>
  <c r="Q13" i="1"/>
  <c r="M17" i="1"/>
  <c r="N17" i="1"/>
  <c r="Q16" i="1"/>
  <c r="K51" i="1" l="1" a="1"/>
  <c r="K51" i="1" s="1"/>
  <c r="Q26" i="1" a="1"/>
  <c r="Q26" i="1" s="1"/>
  <c r="N46" i="1" a="1"/>
  <c r="N46" i="1" s="1"/>
  <c r="M53" i="1" a="1"/>
  <c r="M53" i="1" s="1"/>
  <c r="M37" i="1" a="1"/>
  <c r="M37" i="1" s="1"/>
  <c r="N45" i="1" a="1"/>
  <c r="N45" i="1" s="1"/>
  <c r="L32" i="1" a="1"/>
  <c r="L32" i="1" s="1"/>
  <c r="M41" i="1" a="1"/>
  <c r="M41" i="1" s="1"/>
  <c r="L49" i="1" a="1"/>
  <c r="L49" i="1" s="1"/>
  <c r="L45" i="1" a="1"/>
  <c r="L45" i="1" s="1"/>
  <c r="L37" i="1" a="1"/>
  <c r="L37" i="1" s="1"/>
  <c r="L50" i="1" a="1"/>
  <c r="L50" i="1" s="1"/>
  <c r="L48" i="1" a="1"/>
  <c r="L48" i="1" s="1"/>
  <c r="M49" i="1" a="1"/>
  <c r="M49" i="1" s="1"/>
  <c r="L30" i="1" a="1"/>
  <c r="L30" i="1" s="1"/>
  <c r="K46" i="1" a="1"/>
  <c r="K46" i="1" s="1"/>
  <c r="M45" i="1" a="1"/>
  <c r="M45" i="1" s="1"/>
  <c r="M30" i="1" a="1"/>
  <c r="M30" i="1" s="1"/>
  <c r="M52" i="1" a="1"/>
  <c r="M52" i="1" s="1"/>
  <c r="L23" i="1" a="1"/>
  <c r="L23" i="1" s="1"/>
  <c r="Q22" i="1" a="1"/>
  <c r="Q22" i="1" s="1"/>
  <c r="L5" i="1" a="1"/>
  <c r="L5" i="1" s="1"/>
  <c r="M6" i="1" a="1"/>
  <c r="M6" i="1" s="1"/>
  <c r="K23" i="1" a="1"/>
  <c r="K23" i="1" s="1"/>
  <c r="O4" i="1" a="1"/>
  <c r="O4" i="1" s="1"/>
  <c r="N6" i="1" a="1"/>
  <c r="N6" i="1" s="1"/>
  <c r="O7" i="1" a="1"/>
  <c r="O7" i="1" s="1"/>
  <c r="M22" i="1" a="1"/>
  <c r="M22" i="1" s="1"/>
  <c r="L25" i="1" a="1"/>
  <c r="L25" i="1" s="1"/>
  <c r="N7" i="1" a="1"/>
  <c r="N7" i="1" s="1"/>
  <c r="M25" i="1" a="1"/>
  <c r="M25" i="1" s="1"/>
  <c r="P4" i="1" a="1"/>
  <c r="P4" i="1" s="1"/>
  <c r="N22" i="1" a="1"/>
  <c r="N22" i="1" s="1"/>
  <c r="O23" i="1" a="1"/>
  <c r="O23" i="1" s="1"/>
  <c r="N25" i="1" a="1"/>
  <c r="N25" i="1" s="1"/>
  <c r="L3" i="1" a="1"/>
  <c r="L3" i="1" s="1"/>
  <c r="L24" i="1" a="1"/>
  <c r="L24" i="1" s="1"/>
  <c r="N53" i="1" a="1"/>
  <c r="N53" i="1" s="1"/>
  <c r="L39" i="1" a="1"/>
  <c r="L39" i="1" s="1"/>
  <c r="K48" i="1" a="1"/>
  <c r="K48" i="1" s="1"/>
  <c r="N48" i="1" a="1"/>
  <c r="N48" i="1" s="1"/>
  <c r="N47" i="1" a="1"/>
  <c r="N47" i="1" s="1"/>
  <c r="O26" i="1" a="1"/>
  <c r="O26" i="1" s="1"/>
  <c r="M46" i="1" a="1"/>
  <c r="M46" i="1" s="1"/>
  <c r="N54" i="1" a="1"/>
  <c r="N54" i="1" s="1"/>
  <c r="M51" i="1" a="1"/>
  <c r="M51" i="1" s="1"/>
  <c r="P26" i="1" a="1"/>
  <c r="P26" i="1" s="1"/>
  <c r="L33" i="1" a="1"/>
  <c r="L33" i="1" s="1"/>
  <c r="G168" i="1"/>
  <c r="M50" i="1" a="1"/>
  <c r="M50" i="1" s="1"/>
  <c r="N55" i="1" a="1"/>
  <c r="N55" i="1" s="1"/>
  <c r="L38" i="1" a="1"/>
  <c r="L38" i="1" s="1"/>
  <c r="L52" i="1" a="1"/>
  <c r="L52" i="1" s="1"/>
  <c r="M39" i="1" a="1"/>
  <c r="M39" i="1" s="1"/>
  <c r="M32" i="1" a="1"/>
  <c r="M32" i="1" s="1"/>
  <c r="M31" i="1" a="1"/>
  <c r="M31" i="1" s="1"/>
  <c r="K25" i="1" a="1"/>
  <c r="K25" i="1" s="1"/>
  <c r="A5" i="16"/>
  <c r="M7" i="1" a="1"/>
  <c r="M7" i="1" s="1"/>
  <c r="N4" i="1" a="1"/>
  <c r="N4" i="1" s="1"/>
  <c r="O5" i="1" a="1"/>
  <c r="O5" i="1" s="1"/>
  <c r="Q23" i="1" a="1"/>
  <c r="Q23" i="1" s="1"/>
  <c r="K24" i="1" a="1"/>
  <c r="K24" i="1" s="1"/>
  <c r="O3" i="1" a="1"/>
  <c r="O3" i="1" s="1"/>
  <c r="P5" i="1" a="1"/>
  <c r="P5" i="1" s="1"/>
  <c r="P3" i="1" a="1"/>
  <c r="P3" i="1" s="1"/>
  <c r="P23" i="1" a="1"/>
  <c r="P23" i="1" s="1"/>
  <c r="N23" i="1" a="1"/>
  <c r="N23" i="1" s="1"/>
  <c r="O25" i="1" a="1"/>
  <c r="O25" i="1" s="1"/>
  <c r="P24" i="1" a="1"/>
  <c r="P24" i="1" s="1"/>
  <c r="N21" i="1" a="1"/>
  <c r="N21" i="1" s="1"/>
  <c r="L21" i="1" a="1"/>
  <c r="L21" i="1" s="1"/>
  <c r="K3" i="1" a="1"/>
  <c r="K3" i="1" s="1"/>
  <c r="P21" i="1" a="1"/>
  <c r="P21" i="1" s="1"/>
  <c r="P25" i="1" a="1"/>
  <c r="P25" i="1" s="1"/>
  <c r="P6" i="1" a="1"/>
  <c r="P6" i="1" s="1"/>
  <c r="K47" i="1" a="1"/>
  <c r="K47" i="1" s="1"/>
  <c r="K55" i="1" a="1"/>
  <c r="K55" i="1" s="1"/>
  <c r="L35" i="1" a="1"/>
  <c r="L35" i="1" s="1"/>
  <c r="N50" i="1" a="1"/>
  <c r="N50" i="1" s="1"/>
  <c r="K50" i="1" a="1"/>
  <c r="K50" i="1" s="1"/>
  <c r="K49" i="1" a="1"/>
  <c r="K49" i="1" s="1"/>
  <c r="L40" i="1" a="1"/>
  <c r="L40" i="1" s="1"/>
  <c r="N52" i="1" a="1"/>
  <c r="N52" i="1" s="1"/>
  <c r="K54" i="1" a="1"/>
  <c r="K54" i="1" s="1"/>
  <c r="L53" i="1" a="1"/>
  <c r="L53" i="1" s="1"/>
  <c r="L26" i="1" a="1"/>
  <c r="L26" i="1" s="1"/>
  <c r="L46" i="1" a="1"/>
  <c r="L46" i="1" s="1"/>
  <c r="N51" i="1" a="1"/>
  <c r="N51" i="1" s="1"/>
  <c r="M38" i="1" a="1"/>
  <c r="M38" i="1" s="1"/>
  <c r="K26" i="1" a="1"/>
  <c r="K26" i="1" s="1"/>
  <c r="L34" i="1" a="1"/>
  <c r="L34" i="1" s="1"/>
  <c r="M54" i="1" a="1"/>
  <c r="M54" i="1" s="1"/>
  <c r="L54" i="1" a="1"/>
  <c r="L54" i="1" s="1"/>
  <c r="M35" i="1" a="1"/>
  <c r="M35" i="1" s="1"/>
  <c r="M34" i="1" a="1"/>
  <c r="M34" i="1" s="1"/>
  <c r="K21" i="1" a="1"/>
  <c r="K21" i="1" s="1"/>
  <c r="K22" i="1" a="1"/>
  <c r="K22" i="1" s="1"/>
  <c r="O6" i="1" a="1"/>
  <c r="O6" i="1" s="1"/>
  <c r="N3" i="1" a="1"/>
  <c r="N3" i="1" s="1"/>
  <c r="Q24" i="1" a="1"/>
  <c r="Q24" i="1" s="1"/>
  <c r="P7" i="1" a="1"/>
  <c r="P7" i="1" s="1"/>
  <c r="M4" i="1" a="1"/>
  <c r="M4" i="1" s="1"/>
  <c r="N5" i="1" a="1"/>
  <c r="N5" i="1" s="1"/>
  <c r="M23" i="1" a="1"/>
  <c r="M23" i="1" s="1"/>
  <c r="N24" i="1" a="1"/>
  <c r="N24" i="1" s="1"/>
  <c r="M24" i="1" a="1"/>
  <c r="M24" i="1" s="1"/>
  <c r="K4" i="1" a="1"/>
  <c r="K4" i="1" s="1"/>
  <c r="O24" i="1" a="1"/>
  <c r="O24" i="1" s="1"/>
  <c r="O22" i="1" a="1"/>
  <c r="O22" i="1" s="1"/>
  <c r="M21" i="1" a="1"/>
  <c r="M21" i="1" s="1"/>
  <c r="L22" i="1" a="1"/>
  <c r="L22" i="1" s="1"/>
  <c r="N49" i="1" a="1"/>
  <c r="N49" i="1" s="1"/>
  <c r="N26" i="1" a="1"/>
  <c r="N26" i="1" s="1"/>
  <c r="L31" i="1" a="1"/>
  <c r="L31" i="1" s="1"/>
  <c r="L51" i="1" a="1"/>
  <c r="L51" i="1" s="1"/>
  <c r="M40" i="1" a="1"/>
  <c r="M40" i="1" s="1"/>
  <c r="L55" i="1" a="1"/>
  <c r="L55" i="1" s="1"/>
  <c r="L36" i="1" a="1"/>
  <c r="L36" i="1" s="1"/>
  <c r="K45" i="1" a="1"/>
  <c r="K45" i="1" s="1"/>
  <c r="M47" i="1" a="1"/>
  <c r="M47" i="1" s="1"/>
  <c r="M55" i="1" a="1"/>
  <c r="M55" i="1" s="1"/>
  <c r="L41" i="1" a="1"/>
  <c r="L41" i="1" s="1"/>
  <c r="M48" i="1" a="1"/>
  <c r="M48" i="1" s="1"/>
  <c r="K53" i="1" a="1"/>
  <c r="K53" i="1" s="1"/>
  <c r="O53" i="1" s="1"/>
  <c r="L47" i="1" a="1"/>
  <c r="L47" i="1" s="1"/>
  <c r="M26" i="1" a="1"/>
  <c r="M26" i="1" s="1"/>
  <c r="G170" i="1" a="1"/>
  <c r="G170" i="1" s="1"/>
  <c r="K52" i="1" a="1"/>
  <c r="K52" i="1" s="1"/>
  <c r="M33" i="1" a="1"/>
  <c r="M33" i="1" s="1"/>
  <c r="M36" i="1" a="1"/>
  <c r="M36" i="1" s="1"/>
  <c r="I10" i="16"/>
  <c r="Q25" i="1" a="1"/>
  <c r="Q25" i="1" s="1"/>
  <c r="Q21" i="1" a="1"/>
  <c r="Q21" i="1" s="1"/>
  <c r="K6" i="1" a="1"/>
  <c r="K6" i="1" s="1"/>
  <c r="K5" i="1" a="1"/>
  <c r="K5" i="1" s="1"/>
  <c r="M5" i="1" a="1"/>
  <c r="M5" i="1" s="1"/>
  <c r="L7" i="1" a="1"/>
  <c r="L7" i="1" s="1"/>
  <c r="M3" i="1" a="1"/>
  <c r="M3" i="1" s="1"/>
  <c r="K7" i="1" a="1"/>
  <c r="K7" i="1" s="1"/>
  <c r="O21" i="1" a="1"/>
  <c r="O21" i="1" s="1"/>
  <c r="L4" i="1" a="1"/>
  <c r="L4" i="1" s="1"/>
  <c r="L6" i="1" a="1"/>
  <c r="L6" i="1" s="1"/>
  <c r="P22" i="1" a="1"/>
  <c r="P22" i="1" s="1"/>
  <c r="Q17" i="1"/>
  <c r="O52" i="1" l="1"/>
  <c r="Q7" i="1"/>
  <c r="K56" i="1"/>
  <c r="O45" i="1"/>
  <c r="Q4" i="1"/>
  <c r="N8" i="1"/>
  <c r="O8" i="1"/>
  <c r="O48" i="1"/>
  <c r="L8" i="1"/>
  <c r="O46" i="1"/>
  <c r="Q5" i="1"/>
  <c r="M8" i="1"/>
  <c r="Q6" i="1"/>
  <c r="O49" i="1"/>
  <c r="O55" i="1"/>
  <c r="P8" i="1"/>
  <c r="L56" i="1"/>
  <c r="N56" i="1"/>
  <c r="O54" i="1"/>
  <c r="O50" i="1"/>
  <c r="O47" i="1"/>
  <c r="K8" i="1"/>
  <c r="Q3" i="1"/>
  <c r="M56" i="1"/>
  <c r="O51" i="1"/>
  <c r="Q8" i="1" l="1"/>
  <c r="O56" i="1"/>
</calcChain>
</file>

<file path=xl/comments1.xml><?xml version="1.0" encoding="utf-8"?>
<comments xmlns="http://schemas.openxmlformats.org/spreadsheetml/2006/main">
  <authors>
    <author>Dana Nejedlová</author>
  </authors>
  <commentList>
    <comment ref="B2" authorId="0">
      <text>
        <r>
          <rPr>
            <b/>
            <sz val="8"/>
            <color indexed="81"/>
            <rFont val="Tahoma"/>
            <family val="2"/>
            <charset val="238"/>
          </rPr>
          <t>Dana Nejedlová:</t>
        </r>
        <r>
          <rPr>
            <sz val="8"/>
            <color indexed="81"/>
            <rFont val="Tahoma"/>
            <family val="2"/>
            <charset val="238"/>
          </rPr>
          <t xml:space="preserve">
Zde je vzorec. Do buněk pod ním chceme doplnit stejné hodnoty, které by vznikly prostým kopírováním nebo roztažením.</t>
        </r>
      </text>
    </comment>
    <comment ref="F2" authorId="0">
      <text>
        <r>
          <rPr>
            <b/>
            <sz val="8"/>
            <color indexed="81"/>
            <rFont val="Tahoma"/>
            <family val="2"/>
            <charset val="238"/>
          </rPr>
          <t>Dana Nejedlová:</t>
        </r>
        <r>
          <rPr>
            <sz val="8"/>
            <color indexed="81"/>
            <rFont val="Tahoma"/>
            <family val="2"/>
            <charset val="238"/>
          </rPr>
          <t xml:space="preserve">
Tato buňka musí mít odkaz na buňku se vzorcem.</t>
        </r>
      </text>
    </comment>
    <comment ref="E8" authorId="0">
      <text>
        <r>
          <rPr>
            <b/>
            <sz val="8"/>
            <color indexed="81"/>
            <rFont val="Tahoma"/>
            <family val="2"/>
            <charset val="238"/>
          </rPr>
          <t>Dana Nejedlová:</t>
        </r>
        <r>
          <rPr>
            <sz val="8"/>
            <color indexed="81"/>
            <rFont val="Tahoma"/>
            <family val="2"/>
            <charset val="238"/>
          </rPr>
          <t xml:space="preserve">
Tato hodnota je v řádku tabulky. Na hodnotě v této buňce nezáleží. Zadá se jako "Vstupní buňka sloupce".</t>
        </r>
      </text>
    </comment>
    <comment ref="E9" authorId="0">
      <text>
        <r>
          <rPr>
            <b/>
            <sz val="8"/>
            <color indexed="81"/>
            <rFont val="Tahoma"/>
            <family val="2"/>
            <charset val="238"/>
          </rPr>
          <t>Dana Nejedlová:</t>
        </r>
        <r>
          <rPr>
            <sz val="8"/>
            <color indexed="81"/>
            <rFont val="Tahoma"/>
            <family val="2"/>
            <charset val="238"/>
          </rPr>
          <t xml:space="preserve">
Tato hodnota je ve sloupečku tabulky. Na hodnotě v této buňce nezáleží. Zadá se jako "Vstupní buňka řádku".</t>
        </r>
      </text>
    </comment>
    <comment ref="E10" authorId="0">
      <text>
        <r>
          <rPr>
            <b/>
            <sz val="8"/>
            <color indexed="81"/>
            <rFont val="Tahoma"/>
            <family val="2"/>
            <charset val="238"/>
          </rPr>
          <t>Dana Nejedlová:</t>
        </r>
        <r>
          <rPr>
            <sz val="8"/>
            <color indexed="81"/>
            <rFont val="Tahoma"/>
            <family val="2"/>
            <charset val="238"/>
          </rPr>
          <t xml:space="preserve">
Zde musí být vzorec se dvěma vstupními hodnotami, které chceme variovat, a případně i dalšími vstupními hodnotami.</t>
        </r>
      </text>
    </comment>
  </commentList>
</comments>
</file>

<file path=xl/comments2.xml><?xml version="1.0" encoding="utf-8"?>
<comments xmlns="http://schemas.openxmlformats.org/spreadsheetml/2006/main">
  <authors>
    <author>Dana Nejedlová</author>
  </authors>
  <commentList>
    <comment ref="I10" authorId="0">
      <text>
        <r>
          <rPr>
            <b/>
            <sz val="9"/>
            <color indexed="81"/>
            <rFont val="Tahoma"/>
            <family val="2"/>
            <charset val="238"/>
          </rPr>
          <t>Dana Nejedlová:</t>
        </r>
        <r>
          <rPr>
            <sz val="9"/>
            <color indexed="81"/>
            <rFont val="Tahoma"/>
            <family val="2"/>
            <charset val="238"/>
          </rPr>
          <t xml:space="preserve">
Zde nesmí být vzorec využívající název oblasti
='Maticové vzorce'!G2&gt;PRŮMĚR(Tržba)
i když by měl znamenat to samé.</t>
        </r>
      </text>
    </comment>
  </commentList>
</comments>
</file>

<file path=xl/sharedStrings.xml><?xml version="1.0" encoding="utf-8"?>
<sst xmlns="http://schemas.openxmlformats.org/spreadsheetml/2006/main" count="1288" uniqueCount="268">
  <si>
    <t>Datum</t>
  </si>
  <si>
    <t>Měsíc</t>
  </si>
  <si>
    <t>Den</t>
  </si>
  <si>
    <t>Výrobek</t>
  </si>
  <si>
    <t>Počet</t>
  </si>
  <si>
    <t>Cena</t>
  </si>
  <si>
    <t>Tržba</t>
  </si>
  <si>
    <t>Zákazník</t>
  </si>
  <si>
    <t>BON</t>
  </si>
  <si>
    <t>P</t>
  </si>
  <si>
    <t>KAU</t>
  </si>
  <si>
    <t>B</t>
  </si>
  <si>
    <t>FIN</t>
  </si>
  <si>
    <t>SAF</t>
  </si>
  <si>
    <t>INV</t>
  </si>
  <si>
    <t>F</t>
  </si>
  <si>
    <t>J</t>
  </si>
  <si>
    <t>POD</t>
  </si>
  <si>
    <t>Program</t>
  </si>
  <si>
    <t>Jaká je celková tržba?</t>
  </si>
  <si>
    <t>Jaká je celková tržba za nadprůměrně vysoké obchody?</t>
  </si>
  <si>
    <t>Jaká je průměrná tržba za zákazníka B a výrobek BON?</t>
  </si>
  <si>
    <t>x1</t>
  </si>
  <si>
    <t>x2</t>
  </si>
  <si>
    <t>x3</t>
  </si>
  <si>
    <t>x4</t>
  </si>
  <si>
    <t>x5</t>
  </si>
  <si>
    <t>Disponibilní množství</t>
  </si>
  <si>
    <t>Spotřeba</t>
  </si>
  <si>
    <t>Tuk</t>
  </si>
  <si>
    <t>Kakao</t>
  </si>
  <si>
    <t>Cukr</t>
  </si>
  <si>
    <t>Optimální výroba</t>
  </si>
  <si>
    <t>Dopravní náklady a zadané kapacity a požadavky</t>
  </si>
  <si>
    <t>Odběratel 1</t>
  </si>
  <si>
    <t>Odběratel 2</t>
  </si>
  <si>
    <t>Odběratel 3</t>
  </si>
  <si>
    <t>Kapacita</t>
  </si>
  <si>
    <t>Sklad 1</t>
  </si>
  <si>
    <t>Sklad 2</t>
  </si>
  <si>
    <t>Sklad 3</t>
  </si>
  <si>
    <t>Sklad 4</t>
  </si>
  <si>
    <t>Požadavek</t>
  </si>
  <si>
    <t>Čerpané kapacity a uspokojené požadavky</t>
  </si>
  <si>
    <t>Výsledné dopravní náklady</t>
  </si>
  <si>
    <t>Zisk</t>
  </si>
  <si>
    <t>Jaký je maximální zisk čokoládovny?</t>
  </si>
  <si>
    <t>Jaké jsou minimální dopravní náklady?</t>
  </si>
  <si>
    <t>Otázky</t>
  </si>
  <si>
    <t>Výsledek</t>
  </si>
  <si>
    <t>Body</t>
  </si>
  <si>
    <t>Celkový součet</t>
  </si>
  <si>
    <t>Jaká je celková tržba za výrobek BON v pondělí v obchodech s tržbou vyšší než 20000?</t>
  </si>
  <si>
    <t>Ve kterém měsíci se nejvíce utržilo za výrobek SAF a kolik to bylo?</t>
  </si>
  <si>
    <t>Kterého výrobku odebral zákazník F nejvíce kusů v pondělí a kolik kusů to bylo?</t>
  </si>
  <si>
    <t>Který zákazník odebral nejvíce kusů ve 3. měsíci a kolik kusů to bylo?</t>
  </si>
  <si>
    <t>Který den v týdnu se prodalo nejméně kusů výrobku FIN?</t>
  </si>
  <si>
    <t>čtvrtek</t>
  </si>
  <si>
    <t>Který zákazník odebral ve středu nejvíce kusů výrobku BON a kolik kusů to bylo?</t>
  </si>
  <si>
    <t>Rozdělení počtu obchodů podle počtu prodaných kusů</t>
  </si>
  <si>
    <t>Počet kusů</t>
  </si>
  <si>
    <t>Celkem za výrobek</t>
  </si>
  <si>
    <t>Celkem za den</t>
  </si>
  <si>
    <t>Jednorozměrný histogram z maticových vzorců</t>
  </si>
  <si>
    <t>Dvourozměrný histogram z maticových vzorců</t>
  </si>
  <si>
    <t>Celkem trža</t>
  </si>
  <si>
    <t>Rozdělení tržeb podle počtu prodaných kusů</t>
  </si>
  <si>
    <t>Datová tabulka s jedním vstupem</t>
  </si>
  <si>
    <t>Označit oblast A2:B10.</t>
  </si>
  <si>
    <t>Data - Tabulka...</t>
  </si>
  <si>
    <t>Datová tabulka se dvěma vstupy</t>
  </si>
  <si>
    <t>Označit oblast F2:L10.</t>
  </si>
  <si>
    <t>To samé pomocí maticových vzorců</t>
  </si>
  <si>
    <t>Tento test musíte dělat samostatně, můžete však používat své poznámky a nápovědu programu MS Excel.</t>
  </si>
  <si>
    <t xml:space="preserve"> = pravděpodobnost, že je určitý měsíc a den v týdnu a počet vyšší nebo roven zadané hodnotě / pravděpodobnost, že je určitý měsíc a den v týdnu.</t>
  </si>
  <si>
    <t>Podmíněná pravděpodobnost, že v určitém měsíci a dni v týdnu bude počet prodaných kusů vyšší nebo roven zadané hodnotě</t>
  </si>
  <si>
    <t>vše</t>
  </si>
  <si>
    <t>Rozdělení tržeb podle počtu prodaných kusů jiným vzorcem</t>
  </si>
  <si>
    <t>Pravděpodobnost jevu</t>
  </si>
  <si>
    <t>Jev je vybrán</t>
  </si>
  <si>
    <t>(Vše)</t>
  </si>
  <si>
    <t>Kontingenční tabulka z maticových vzorců, kde stránkou je zákazník a sčítá se tržba</t>
  </si>
  <si>
    <t>Kontingenční tabulka z maticových vzorců, kde stránkou je zákazník a počítá se průměrná tržba</t>
  </si>
  <si>
    <t>Kontingenční tabulka z maticových vzorců, kde stránkou je zákazník a počítá se počet obchodů</t>
  </si>
  <si>
    <t>Součet z Tržba</t>
  </si>
  <si>
    <t>x</t>
  </si>
  <si>
    <t>y</t>
  </si>
  <si>
    <t>Odhad y</t>
  </si>
  <si>
    <t>K vypracování tohoto testu máte 30 minut času.</t>
  </si>
  <si>
    <t>Příklad databázové funkce</t>
  </si>
  <si>
    <t>Hynek</t>
  </si>
  <si>
    <t>Vilém</t>
  </si>
  <si>
    <t>Jarmila</t>
  </si>
  <si>
    <t>Délka nejdelšího slova</t>
  </si>
  <si>
    <t>Podnik</t>
  </si>
  <si>
    <t>Nákup</t>
  </si>
  <si>
    <t>Platba</t>
  </si>
  <si>
    <t>Faktura</t>
  </si>
  <si>
    <t>Hotovost</t>
  </si>
  <si>
    <t>Celkem</t>
  </si>
  <si>
    <t>Dana 1</t>
  </si>
  <si>
    <t>faktura</t>
  </si>
  <si>
    <t>Dana</t>
  </si>
  <si>
    <t>Dana 2</t>
  </si>
  <si>
    <t>hotovost</t>
  </si>
  <si>
    <t>Věra</t>
  </si>
  <si>
    <t>Dana3</t>
  </si>
  <si>
    <t>Jan</t>
  </si>
  <si>
    <t>1Dana</t>
  </si>
  <si>
    <t>Karel</t>
  </si>
  <si>
    <t>Věra1</t>
  </si>
  <si>
    <t>Věra 2</t>
  </si>
  <si>
    <t>3 Věra</t>
  </si>
  <si>
    <t>Jan 1</t>
  </si>
  <si>
    <t>Karel 1</t>
  </si>
  <si>
    <t>1Karel</t>
  </si>
  <si>
    <r>
      <t>x</t>
    </r>
    <r>
      <rPr>
        <b/>
        <vertAlign val="superscript"/>
        <sz val="10"/>
        <rFont val="Arial CE"/>
        <family val="2"/>
        <charset val="238"/>
      </rPr>
      <t>2</t>
    </r>
  </si>
  <si>
    <r>
      <t>x</t>
    </r>
    <r>
      <rPr>
        <b/>
        <vertAlign val="superscript"/>
        <sz val="10"/>
        <rFont val="Arial CE"/>
        <family val="2"/>
        <charset val="238"/>
      </rPr>
      <t>3</t>
    </r>
    <r>
      <rPr>
        <sz val="10"/>
        <rFont val="Arial CE"/>
        <charset val="238"/>
      </rPr>
      <t/>
    </r>
  </si>
  <si>
    <r>
      <t>x</t>
    </r>
    <r>
      <rPr>
        <b/>
        <vertAlign val="superscript"/>
        <sz val="10"/>
        <rFont val="Arial CE"/>
        <family val="2"/>
        <charset val="238"/>
      </rPr>
      <t>4</t>
    </r>
    <r>
      <rPr>
        <sz val="10"/>
        <rFont val="Arial CE"/>
        <charset val="238"/>
      </rPr>
      <t/>
    </r>
  </si>
  <si>
    <t>Podlahová plocha</t>
  </si>
  <si>
    <t>Počet kanceláří</t>
  </si>
  <si>
    <t>Počet vchodů</t>
  </si>
  <si>
    <t>Stáří</t>
  </si>
  <si>
    <t>Odhadní cena</t>
  </si>
  <si>
    <t>Podrobnosti jsou v nápovědě k jednotlivým funkcím.</t>
  </si>
  <si>
    <t>Návrat jedné z hodnot</t>
  </si>
  <si>
    <t>Výrobek 1</t>
  </si>
  <si>
    <t>Výrobek 2</t>
  </si>
  <si>
    <t>Výrobek 3</t>
  </si>
  <si>
    <t>Výrobek 4</t>
  </si>
  <si>
    <t>Výrobek 5</t>
  </si>
  <si>
    <t>Leden</t>
  </si>
  <si>
    <t>Únor</t>
  </si>
  <si>
    <t>Březen</t>
  </si>
  <si>
    <t>Duben</t>
  </si>
  <si>
    <t>Květen</t>
  </si>
  <si>
    <t>Červen</t>
  </si>
  <si>
    <t>Červenec</t>
  </si>
  <si>
    <t>Srpen</t>
  </si>
  <si>
    <t>Září</t>
  </si>
  <si>
    <t>Říjen</t>
  </si>
  <si>
    <t>Listopad</t>
  </si>
  <si>
    <t>Prosinec</t>
  </si>
  <si>
    <t>Procentní podíly</t>
  </si>
  <si>
    <t>Celkem %</t>
  </si>
  <si>
    <t>R</t>
  </si>
  <si>
    <t>S</t>
  </si>
  <si>
    <t>T</t>
  </si>
  <si>
    <t>U</t>
  </si>
  <si>
    <t>V</t>
  </si>
  <si>
    <t>Řádek od</t>
  </si>
  <si>
    <t>Řádek do</t>
  </si>
  <si>
    <t>Použití pro vyhledání přesné hodnoty</t>
  </si>
  <si>
    <t>A</t>
  </si>
  <si>
    <t>C</t>
  </si>
  <si>
    <t>Ceník setříděný podle výrobku</t>
  </si>
  <si>
    <t>Ceník nesetříděný podle výrobku</t>
  </si>
  <si>
    <t>Použití pro vyhledání hodnoty z intervalu</t>
  </si>
  <si>
    <t>Teplota</t>
  </si>
  <si>
    <t>Kožich</t>
  </si>
  <si>
    <t>Svetr</t>
  </si>
  <si>
    <t>Mikina</t>
  </si>
  <si>
    <t>Tričko</t>
  </si>
  <si>
    <t>Plavky</t>
  </si>
  <si>
    <t>Oblečení</t>
  </si>
  <si>
    <t>Použití pro vyhledání chybějících hodnot</t>
  </si>
  <si>
    <t>D</t>
  </si>
  <si>
    <t>Slovník</t>
  </si>
  <si>
    <t>Seznam</t>
  </si>
  <si>
    <t>Funkce</t>
  </si>
  <si>
    <t>Bunda</t>
  </si>
  <si>
    <t>Rok</t>
  </si>
  <si>
    <t>Velikost A</t>
  </si>
  <si>
    <t>Poloha x A</t>
  </si>
  <si>
    <t>Poloha y A</t>
  </si>
  <si>
    <t>Velikost B</t>
  </si>
  <si>
    <t>Poloha x B</t>
  </si>
  <si>
    <t>Poloha y B</t>
  </si>
  <si>
    <t>http://www.ted.com/index.php/talks/hans_rosling_shows_the_best_stats_you_ve_ever_seen.html</t>
  </si>
  <si>
    <t>Umožňuje do jisté míry vizualizaci v této prezentaci:</t>
  </si>
  <si>
    <t>http://pubs.logicalexpressions.com/pub0009/LPMArticle.asp?ID=518</t>
  </si>
  <si>
    <t>http://office.microsoft.com/en-us/excel/HA011098011033.aspx</t>
  </si>
  <si>
    <t>tužka</t>
  </si>
  <si>
    <t>pero</t>
  </si>
  <si>
    <t>a</t>
  </si>
  <si>
    <t>b</t>
  </si>
  <si>
    <t>c</t>
  </si>
  <si>
    <t>guma</t>
  </si>
  <si>
    <t>Kancelář</t>
  </si>
  <si>
    <t>Množství</t>
  </si>
  <si>
    <t>Předmět</t>
  </si>
  <si>
    <t>Počet vyplněných buněk ve sloupečku A</t>
  </si>
  <si>
    <t>Příklad použití funkce POSUN</t>
  </si>
  <si>
    <t>Čas</t>
  </si>
  <si>
    <t>Parametr</t>
  </si>
  <si>
    <t>PX 50 - 2005</t>
  </si>
  <si>
    <t>Počet dní v grafu</t>
  </si>
  <si>
    <t>DatumPX</t>
  </si>
  <si>
    <t>Od kterého dne</t>
  </si>
  <si>
    <t>Respondent</t>
  </si>
  <si>
    <t>Otázka 1</t>
  </si>
  <si>
    <t>Otázka 2</t>
  </si>
  <si>
    <t>Otázka 3</t>
  </si>
  <si>
    <t>Otázka 4</t>
  </si>
  <si>
    <t>Otázka 5</t>
  </si>
  <si>
    <t>K</t>
  </si>
  <si>
    <t>auto</t>
  </si>
  <si>
    <t>dům</t>
  </si>
  <si>
    <t>vila</t>
  </si>
  <si>
    <t>dovolená</t>
  </si>
  <si>
    <t>O</t>
  </si>
  <si>
    <t>L</t>
  </si>
  <si>
    <t>M</t>
  </si>
  <si>
    <t>N</t>
  </si>
  <si>
    <t>jablko</t>
  </si>
  <si>
    <t>Je to v oblasti?</t>
  </si>
  <si>
    <t>hruška</t>
  </si>
  <si>
    <t>pomeranč</t>
  </si>
  <si>
    <t>mandarinka</t>
  </si>
  <si>
    <t>švestka</t>
  </si>
  <si>
    <t>Pravděpodobnost, že současně nastanou vybrané jevy</t>
  </si>
  <si>
    <t>Sloupek1</t>
  </si>
  <si>
    <t>Sloupek2</t>
  </si>
  <si>
    <t>Možné hodnoty</t>
  </si>
  <si>
    <t>Hodnota řádků</t>
  </si>
  <si>
    <t>Špatně, ale je to na straně 172 v knize John Walkenbach, David Maguiness Excel 5.0 podrobný průvodce zkušeného uživatele, Grada 1996, 1.vydání, ISBN 80-7169-213-1.</t>
  </si>
  <si>
    <t>aa</t>
  </si>
  <si>
    <t>Počet řádků v tabulce, které mají hodnotu</t>
  </si>
  <si>
    <t>Správně přibližně tak, jak to dělá doplněk Průvodce podmíněným součtem. Tento typ vzorce je navíc vypočten rychleji.</t>
  </si>
  <si>
    <t>Doplněk Průvodce podmíněným součtem od verze MS Office 2010 již není k dispozici.</t>
  </si>
  <si>
    <t>Dalším takovým doplňkem je Průvodce vyhledáváním, který vytváří následující vzorce:</t>
  </si>
  <si>
    <t>svetr</t>
  </si>
  <si>
    <t>kabát</t>
  </si>
  <si>
    <t>košile</t>
  </si>
  <si>
    <t>já</t>
  </si>
  <si>
    <t>ty</t>
  </si>
  <si>
    <t>on</t>
  </si>
  <si>
    <t>Chyby způsobené výše uvedenými vzorci typu SUMA(KDYŽ…)</t>
  </si>
  <si>
    <t>Skutečné pohyby</t>
  </si>
  <si>
    <t>Doleva prudce</t>
  </si>
  <si>
    <t>Doleva mírně</t>
  </si>
  <si>
    <t>Rovně</t>
  </si>
  <si>
    <t>Doprava mírně</t>
  </si>
  <si>
    <t>Doprava prudce</t>
  </si>
  <si>
    <t>Vypočtené pohyby</t>
  </si>
  <si>
    <t>Chyba = 1</t>
  </si>
  <si>
    <t>Vyhodnocování řízení robota</t>
  </si>
  <si>
    <t>Digitalizované vypočtené pohyby = maximum vypočtených je 1</t>
  </si>
  <si>
    <t>Test, zda oblasti jsou stejné</t>
  </si>
  <si>
    <t>Nadprůměrná tržba</t>
  </si>
  <si>
    <t>Suma nadprůměrných obchodů</t>
  </si>
  <si>
    <t>Výsledek porovnejte s maticovým vzorcem.</t>
  </si>
  <si>
    <t>Výsledek porovnejte s kontingenční tabulkou.</t>
  </si>
  <si>
    <t>součet bitů</t>
  </si>
  <si>
    <t>Ciferný součet kladného celého čísla</t>
  </si>
  <si>
    <t>Bitový součin dvou kladných čísel</t>
  </si>
  <si>
    <t>Součet bitů bitového součinu dvou kladných čísel</t>
  </si>
  <si>
    <t>Closest number to the average</t>
  </si>
  <si>
    <t>Average</t>
  </si>
  <si>
    <t>Násobek náhodného čísla</t>
  </si>
  <si>
    <t>Číslo</t>
  </si>
  <si>
    <t>Vzdálenost od průměru</t>
  </si>
  <si>
    <t>Min</t>
  </si>
  <si>
    <t>pozice Min</t>
  </si>
  <si>
    <t>Number of closest numbers to the average</t>
  </si>
  <si>
    <t>Maticově</t>
  </si>
  <si>
    <t>Den týdne</t>
  </si>
  <si>
    <t>Jaký je výsledek rovnice 3=cos(x)/ln(x-5)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</si>
</sst>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h:mm:ss"/>
  </numFmts>
  <fonts count="13" x14ac:knownFonts="1">
    <font>
      <sz val="10"/>
      <name val="Arial CE"/>
      <charset val="238"/>
    </font>
    <font>
      <i/>
      <sz val="10"/>
      <name val="Arial CE"/>
      <family val="2"/>
      <charset val="238"/>
    </font>
    <font>
      <b/>
      <sz val="10"/>
      <name val="Arial CE"/>
      <family val="2"/>
      <charset val="238"/>
    </font>
    <font>
      <sz val="8"/>
      <color indexed="81"/>
      <name val="Tahoma"/>
      <family val="2"/>
      <charset val="238"/>
    </font>
    <font>
      <b/>
      <sz val="8"/>
      <color indexed="81"/>
      <name val="Tahoma"/>
      <family val="2"/>
      <charset val="238"/>
    </font>
    <font>
      <b/>
      <sz val="10"/>
      <name val="Arial CE"/>
      <charset val="238"/>
    </font>
    <font>
      <sz val="8"/>
      <name val="Arial CE"/>
      <charset val="238"/>
    </font>
    <font>
      <b/>
      <vertAlign val="superscript"/>
      <sz val="10"/>
      <name val="Arial CE"/>
      <family val="2"/>
      <charset val="238"/>
    </font>
    <font>
      <u/>
      <sz val="10"/>
      <color indexed="12"/>
      <name val="Arial CE"/>
      <charset val="238"/>
    </font>
    <font>
      <b/>
      <sz val="10"/>
      <name val="Arial"/>
      <family val="2"/>
      <charset val="238"/>
    </font>
    <font>
      <sz val="9"/>
      <color indexed="81"/>
      <name val="Tahoma"/>
      <family val="2"/>
      <charset val="238"/>
    </font>
    <font>
      <b/>
      <sz val="9"/>
      <color indexed="81"/>
      <name val="Tahoma"/>
      <family val="2"/>
      <charset val="238"/>
    </font>
    <font>
      <sz val="10"/>
      <name val="Arial"/>
      <family val="2"/>
      <charset val="23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2" fillId="0" borderId="0"/>
  </cellStyleXfs>
  <cellXfs count="49">
    <xf numFmtId="0" fontId="0" fillId="0" borderId="0" xfId="0"/>
    <xf numFmtId="0" fontId="1" fillId="0" borderId="0" xfId="0" applyFont="1"/>
    <xf numFmtId="0" fontId="1" fillId="0" borderId="0" xfId="0" applyNumberFormat="1" applyFont="1"/>
    <xf numFmtId="14" fontId="0" fillId="0" borderId="0" xfId="0" applyNumberFormat="1"/>
    <xf numFmtId="0" fontId="0" fillId="0" borderId="0" xfId="0" applyNumberFormat="1"/>
    <xf numFmtId="0" fontId="1" fillId="0" borderId="1" xfId="0" applyFont="1" applyBorder="1"/>
    <xf numFmtId="0" fontId="1" fillId="0" borderId="2" xfId="0" applyFont="1" applyBorder="1"/>
    <xf numFmtId="0" fontId="1" fillId="0" borderId="0" xfId="0" applyFont="1"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NumberFormat="1" applyBorder="1"/>
    <xf numFmtId="0" fontId="0" fillId="0" borderId="0" xfId="0" applyNumberFormat="1" applyFill="1" applyBorder="1"/>
    <xf numFmtId="0" fontId="2" fillId="0" borderId="0" xfId="0" applyFont="1"/>
    <xf numFmtId="0" fontId="2" fillId="0" borderId="0" xfId="0" applyFont="1" applyAlignment="1">
      <alignment horizontal="right"/>
    </xf>
    <xf numFmtId="0" fontId="0" fillId="0" borderId="7" xfId="0" applyBorder="1"/>
    <xf numFmtId="0" fontId="0" fillId="0" borderId="8" xfId="0" pivotButton="1" applyBorder="1"/>
    <xf numFmtId="0" fontId="0" fillId="0" borderId="9" xfId="0" applyBorder="1"/>
    <xf numFmtId="0" fontId="0" fillId="0" borderId="10" xfId="0" applyBorder="1"/>
    <xf numFmtId="0" fontId="0" fillId="0" borderId="7" xfId="0" applyNumberFormat="1" applyBorder="1"/>
    <xf numFmtId="0" fontId="0" fillId="0" borderId="9" xfId="0" applyNumberFormat="1" applyBorder="1"/>
    <xf numFmtId="0" fontId="0" fillId="0" borderId="10" xfId="0" applyNumberFormat="1" applyBorder="1"/>
    <xf numFmtId="0" fontId="0" fillId="0" borderId="11" xfId="0" applyBorder="1"/>
    <xf numFmtId="0" fontId="0" fillId="0" borderId="11" xfId="0" applyNumberFormat="1" applyBorder="1"/>
    <xf numFmtId="0" fontId="0" fillId="0" borderId="12" xfId="0" applyNumberFormat="1" applyBorder="1"/>
    <xf numFmtId="0" fontId="0" fillId="0" borderId="13" xfId="0" applyBorder="1"/>
    <xf numFmtId="0" fontId="0" fillId="0" borderId="13" xfId="0" applyNumberFormat="1" applyBorder="1"/>
    <xf numFmtId="0" fontId="0" fillId="0" borderId="14" xfId="0" applyNumberFormat="1" applyBorder="1"/>
    <xf numFmtId="0" fontId="0" fillId="0" borderId="8" xfId="0" applyNumberFormat="1" applyBorder="1"/>
    <xf numFmtId="0" fontId="0" fillId="0" borderId="7" xfId="0" pivotButton="1" applyBorder="1"/>
    <xf numFmtId="0" fontId="0" fillId="0" borderId="15" xfId="0" applyBorder="1"/>
    <xf numFmtId="0" fontId="0" fillId="0" borderId="16" xfId="0" applyBorder="1"/>
    <xf numFmtId="0" fontId="0" fillId="0" borderId="8" xfId="0" applyBorder="1"/>
    <xf numFmtId="0" fontId="5" fillId="0" borderId="0" xfId="0" applyFont="1"/>
    <xf numFmtId="164" fontId="0" fillId="0" borderId="0" xfId="0" applyNumberFormat="1"/>
    <xf numFmtId="0" fontId="0" fillId="0" borderId="0" xfId="0"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8" fillId="0" borderId="0" xfId="1" applyAlignment="1" applyProtection="1"/>
    <xf numFmtId="0" fontId="0" fillId="0" borderId="0" xfId="0" applyAlignment="1"/>
    <xf numFmtId="0" fontId="0" fillId="0" borderId="0" xfId="0" applyNumberFormat="1" applyAlignment="1"/>
    <xf numFmtId="0" fontId="9" fillId="0" borderId="0" xfId="0" applyFont="1"/>
    <xf numFmtId="0" fontId="8" fillId="0" borderId="0" xfId="1" applyNumberFormat="1" applyAlignment="1" applyProtection="1"/>
    <xf numFmtId="0" fontId="12" fillId="0" borderId="0" xfId="2"/>
    <xf numFmtId="0" fontId="2" fillId="0" borderId="0" xfId="0" applyFont="1" applyAlignment="1"/>
  </cellXfs>
  <cellStyles count="3">
    <cellStyle name="Hypertextový odkaz" xfId="1" builtinId="8"/>
    <cellStyle name="Normální" xfId="0" builtinId="0"/>
    <cellStyle name="normální_FuzzyficationFunction" xfId="2"/>
  </cellStyles>
  <dxfs count="3">
    <dxf>
      <fill>
        <patternFill>
          <bgColor rgb="FF00B0F0"/>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cs-CZ"/>
              <a:t>Funkce s parametrem ovládaným posuvníkem</a:t>
            </a:r>
          </a:p>
        </c:rich>
      </c:tx>
      <c:layout>
        <c:manualLayout>
          <c:xMode val="edge"/>
          <c:yMode val="edge"/>
          <c:x val="0.21197444979571728"/>
          <c:y val="3.1707317073170732E-2"/>
        </c:manualLayout>
      </c:layout>
      <c:overlay val="0"/>
      <c:spPr>
        <a:noFill/>
        <a:ln w="25400">
          <a:noFill/>
        </a:ln>
      </c:spPr>
    </c:title>
    <c:autoTitleDeleted val="0"/>
    <c:plotArea>
      <c:layout>
        <c:manualLayout>
          <c:layoutTarget val="inner"/>
          <c:xMode val="edge"/>
          <c:yMode val="edge"/>
          <c:x val="7.2815649043741534E-2"/>
          <c:y val="0.17317073170731706"/>
          <c:w val="0.90453217367670047"/>
          <c:h val="0.76585365853658538"/>
        </c:manualLayout>
      </c:layout>
      <c:lineChart>
        <c:grouping val="standard"/>
        <c:varyColors val="0"/>
        <c:ser>
          <c:idx val="1"/>
          <c:order val="0"/>
          <c:tx>
            <c:strRef>
              <c:f>'Funkce POSUN'!$M$1</c:f>
              <c:strCache>
                <c:ptCount val="1"/>
                <c:pt idx="0">
                  <c:v>Funkce</c:v>
                </c:pt>
              </c:strCache>
            </c:strRef>
          </c:tx>
          <c:spPr>
            <a:ln w="12700">
              <a:solidFill>
                <a:srgbClr val="FF00FF"/>
              </a:solidFill>
              <a:prstDash val="solid"/>
            </a:ln>
          </c:spPr>
          <c:marker>
            <c:symbol val="none"/>
          </c:marker>
          <c:cat>
            <c:numRef>
              <c:f>'Funkce POSUN'!$L$2:$L$51</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'Funkce POSUN'!$M$2:$M$51</c:f>
              <c:numCache>
                <c:formatCode>General</c:formatCode>
                <c:ptCount val="50"/>
                <c:pt idx="0">
                  <c:v>0.8414709848078965</c:v>
                </c:pt>
                <c:pt idx="1">
                  <c:v>1.8185948536513634</c:v>
                </c:pt>
                <c:pt idx="2">
                  <c:v>0.42336002417960161</c:v>
                </c:pt>
                <c:pt idx="3">
                  <c:v>-3.0272099812317128</c:v>
                </c:pt>
                <c:pt idx="4">
                  <c:v>-4.7946213733156924</c:v>
                </c:pt>
                <c:pt idx="5">
                  <c:v>-1.6764929891935552</c:v>
                </c:pt>
                <c:pt idx="6">
                  <c:v>4.5989061910315234</c:v>
                </c:pt>
                <c:pt idx="7">
                  <c:v>7.9148659729870543</c:v>
                </c:pt>
                <c:pt idx="8">
                  <c:v>3.7090663671758093</c:v>
                </c:pt>
                <c:pt idx="9">
                  <c:v>-5.4402111088936973</c:v>
                </c:pt>
                <c:pt idx="10">
                  <c:v>-10.999892272057739</c:v>
                </c:pt>
                <c:pt idx="11">
                  <c:v>-6.4388750160052197</c:v>
                </c:pt>
                <c:pt idx="12">
                  <c:v>5.462171478746332</c:v>
                </c:pt>
                <c:pt idx="13">
                  <c:v>13.868502979728184</c:v>
                </c:pt>
                <c:pt idx="14">
                  <c:v>9.7543176023567533</c:v>
                </c:pt>
                <c:pt idx="15">
                  <c:v>-4.6064530666410448</c:v>
                </c:pt>
                <c:pt idx="16">
                  <c:v>-16.343757361952466</c:v>
                </c:pt>
                <c:pt idx="17">
                  <c:v>-13.517770441890169</c:v>
                </c:pt>
                <c:pt idx="18">
                  <c:v>2.8476669835960946</c:v>
                </c:pt>
                <c:pt idx="19">
                  <c:v>18.258905014552553</c:v>
                </c:pt>
                <c:pt idx="20">
                  <c:v>17.569768409257179</c:v>
                </c:pt>
                <c:pt idx="21">
                  <c:v>-0.19472880438888529</c:v>
                </c:pt>
                <c:pt idx="22">
                  <c:v>-19.463069296028923</c:v>
                </c:pt>
                <c:pt idx="23">
                  <c:v>-21.733880688158973</c:v>
                </c:pt>
                <c:pt idx="24">
                  <c:v>-3.3087937524443256</c:v>
                </c:pt>
                <c:pt idx="25">
                  <c:v>19.826519712469668</c:v>
                </c:pt>
                <c:pt idx="26">
                  <c:v>25.82215006692158</c:v>
                </c:pt>
                <c:pt idx="27">
                  <c:v>7.5853620726203328</c:v>
                </c:pt>
                <c:pt idx="28">
                  <c:v>-19.245382642176057</c:v>
                </c:pt>
                <c:pt idx="29">
                  <c:v>-29.640948722785854</c:v>
                </c:pt>
                <c:pt idx="30">
                  <c:v>-12.525167005015016</c:v>
                </c:pt>
                <c:pt idx="31">
                  <c:v>17.645653799734099</c:v>
                </c:pt>
                <c:pt idx="32">
                  <c:v>32.997091383539818</c:v>
                </c:pt>
                <c:pt idx="33">
                  <c:v>17.988811328080811</c:v>
                </c:pt>
                <c:pt idx="34">
                  <c:v>-14.986393432365286</c:v>
                </c:pt>
                <c:pt idx="35">
                  <c:v>-35.704038723952166</c:v>
                </c:pt>
                <c:pt idx="36">
                  <c:v>-23.81091093420898</c:v>
                </c:pt>
                <c:pt idx="37">
                  <c:v>11.262005990956641</c:v>
                </c:pt>
                <c:pt idx="38">
                  <c:v>37.588020065079427</c:v>
                </c:pt>
                <c:pt idx="39">
                  <c:v>29.804526419173953</c:v>
                </c:pt>
                <c:pt idx="40">
                  <c:v>-6.5035294209930683</c:v>
                </c:pt>
                <c:pt idx="41">
                  <c:v>-38.493905012456622</c:v>
                </c:pt>
                <c:pt idx="42">
                  <c:v>-35.766313933029728</c:v>
                </c:pt>
                <c:pt idx="43">
                  <c:v>0.77888470463819737</c:v>
                </c:pt>
                <c:pt idx="44">
                  <c:v>38.290658604035329</c:v>
                </c:pt>
                <c:pt idx="45">
                  <c:v>41.482263991845223</c:v>
                </c:pt>
                <c:pt idx="46">
                  <c:v>5.8079367690255284</c:v>
                </c:pt>
                <c:pt idx="47">
                  <c:v>-36.876223743536009</c:v>
                </c:pt>
                <c:pt idx="48">
                  <c:v>-46.733879985214124</c:v>
                </c:pt>
                <c:pt idx="49">
                  <c:v>-13.118742685196437</c:v>
                </c:pt>
              </c:numCache>
            </c:numRef>
          </c:val>
          <c:smooth val="0"/>
        </c:ser>
        <c:dLbls>
          <c:showLegendKey val="0"/>
          <c:showVal val="0"/>
          <c:showCatName val="0"/>
          <c:showSerName val="0"/>
          <c:showPercent val="0"/>
          <c:showBubbleSize val="0"/>
        </c:dLbls>
        <c:marker val="1"/>
        <c:smooth val="0"/>
        <c:axId val="155231360"/>
        <c:axId val="155232896"/>
      </c:lineChart>
      <c:catAx>
        <c:axId val="15523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232896"/>
        <c:crosses val="autoZero"/>
        <c:auto val="1"/>
        <c:lblAlgn val="ctr"/>
        <c:lblOffset val="100"/>
        <c:tickLblSkip val="2"/>
        <c:tickMarkSkip val="1"/>
        <c:noMultiLvlLbl val="0"/>
      </c:catAx>
      <c:valAx>
        <c:axId val="155232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2313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689388341020474"/>
          <c:y val="3.17073170731707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cs-CZ"/>
        </a:p>
      </c:txPr>
    </c:title>
    <c:autoTitleDeleted val="0"/>
    <c:plotArea>
      <c:layout>
        <c:manualLayout>
          <c:layoutTarget val="inner"/>
          <c:xMode val="edge"/>
          <c:yMode val="edge"/>
          <c:x val="8.8996904386795209E-2"/>
          <c:y val="0.15853658536585366"/>
          <c:w val="0.83980715230448577"/>
          <c:h val="0.69024390243902434"/>
        </c:manualLayout>
      </c:layout>
      <c:scatterChart>
        <c:scatterStyle val="lineMarker"/>
        <c:varyColors val="0"/>
        <c:ser>
          <c:idx val="0"/>
          <c:order val="0"/>
          <c:tx>
            <c:strRef>
              <c:f>'Funkce POSUN'!$S$1</c:f>
              <c:strCache>
                <c:ptCount val="1"/>
                <c:pt idx="0">
                  <c:v>PX 50 - 2005</c:v>
                </c:pt>
              </c:strCache>
            </c:strRef>
          </c:tx>
          <c:spPr>
            <a:ln w="28575">
              <a:noFill/>
            </a:ln>
          </c:spPr>
          <c:marker>
            <c:symbol val="circle"/>
            <c:size val="2"/>
            <c:spPr>
              <a:solidFill>
                <a:srgbClr val="000080"/>
              </a:solidFill>
              <a:ln>
                <a:solidFill>
                  <a:srgbClr val="000080"/>
                </a:solidFill>
                <a:prstDash val="solid"/>
              </a:ln>
            </c:spPr>
          </c:marker>
          <c:xVal>
            <c:numRef>
              <c:f>[0]!DatumPX</c:f>
              <c:numCache>
                <c:formatCode>m/d/yyyy</c:formatCode>
                <c:ptCount val="365"/>
                <c:pt idx="0">
                  <c:v>38353</c:v>
                </c:pt>
                <c:pt idx="1">
                  <c:v>38354</c:v>
                </c:pt>
                <c:pt idx="2">
                  <c:v>38355</c:v>
                </c:pt>
                <c:pt idx="3">
                  <c:v>38356</c:v>
                </c:pt>
                <c:pt idx="4">
                  <c:v>38357</c:v>
                </c:pt>
                <c:pt idx="5">
                  <c:v>38358</c:v>
                </c:pt>
                <c:pt idx="6">
                  <c:v>38359</c:v>
                </c:pt>
                <c:pt idx="7">
                  <c:v>38360</c:v>
                </c:pt>
                <c:pt idx="8">
                  <c:v>38361</c:v>
                </c:pt>
                <c:pt idx="9">
                  <c:v>38362</c:v>
                </c:pt>
                <c:pt idx="10">
                  <c:v>38363</c:v>
                </c:pt>
                <c:pt idx="11">
                  <c:v>38364</c:v>
                </c:pt>
                <c:pt idx="12">
                  <c:v>38365</c:v>
                </c:pt>
                <c:pt idx="13">
                  <c:v>38366</c:v>
                </c:pt>
                <c:pt idx="14">
                  <c:v>38367</c:v>
                </c:pt>
                <c:pt idx="15">
                  <c:v>38368</c:v>
                </c:pt>
                <c:pt idx="16">
                  <c:v>38369</c:v>
                </c:pt>
                <c:pt idx="17">
                  <c:v>38370</c:v>
                </c:pt>
                <c:pt idx="18">
                  <c:v>38371</c:v>
                </c:pt>
                <c:pt idx="19">
                  <c:v>38372</c:v>
                </c:pt>
                <c:pt idx="20">
                  <c:v>38373</c:v>
                </c:pt>
                <c:pt idx="21">
                  <c:v>38374</c:v>
                </c:pt>
                <c:pt idx="22">
                  <c:v>38375</c:v>
                </c:pt>
                <c:pt idx="23">
                  <c:v>38376</c:v>
                </c:pt>
                <c:pt idx="24">
                  <c:v>38377</c:v>
                </c:pt>
                <c:pt idx="25">
                  <c:v>38378</c:v>
                </c:pt>
                <c:pt idx="26">
                  <c:v>38379</c:v>
                </c:pt>
                <c:pt idx="27">
                  <c:v>38380</c:v>
                </c:pt>
                <c:pt idx="28">
                  <c:v>38381</c:v>
                </c:pt>
                <c:pt idx="29">
                  <c:v>38382</c:v>
                </c:pt>
                <c:pt idx="30">
                  <c:v>38383</c:v>
                </c:pt>
                <c:pt idx="31">
                  <c:v>38384</c:v>
                </c:pt>
                <c:pt idx="32">
                  <c:v>38385</c:v>
                </c:pt>
                <c:pt idx="33">
                  <c:v>38386</c:v>
                </c:pt>
                <c:pt idx="34">
                  <c:v>38387</c:v>
                </c:pt>
                <c:pt idx="35">
                  <c:v>38388</c:v>
                </c:pt>
                <c:pt idx="36">
                  <c:v>38389</c:v>
                </c:pt>
                <c:pt idx="37">
                  <c:v>38390</c:v>
                </c:pt>
                <c:pt idx="38">
                  <c:v>38391</c:v>
                </c:pt>
                <c:pt idx="39">
                  <c:v>38392</c:v>
                </c:pt>
                <c:pt idx="40">
                  <c:v>38393</c:v>
                </c:pt>
                <c:pt idx="41">
                  <c:v>38394</c:v>
                </c:pt>
                <c:pt idx="42">
                  <c:v>38395</c:v>
                </c:pt>
                <c:pt idx="43">
                  <c:v>38396</c:v>
                </c:pt>
                <c:pt idx="44">
                  <c:v>38397</c:v>
                </c:pt>
                <c:pt idx="45">
                  <c:v>38398</c:v>
                </c:pt>
                <c:pt idx="46">
                  <c:v>38399</c:v>
                </c:pt>
                <c:pt idx="47">
                  <c:v>38400</c:v>
                </c:pt>
                <c:pt idx="48">
                  <c:v>38401</c:v>
                </c:pt>
                <c:pt idx="49">
                  <c:v>38402</c:v>
                </c:pt>
                <c:pt idx="50">
                  <c:v>38403</c:v>
                </c:pt>
                <c:pt idx="51">
                  <c:v>38404</c:v>
                </c:pt>
                <c:pt idx="52">
                  <c:v>38405</c:v>
                </c:pt>
                <c:pt idx="53">
                  <c:v>38406</c:v>
                </c:pt>
                <c:pt idx="54">
                  <c:v>38407</c:v>
                </c:pt>
                <c:pt idx="55">
                  <c:v>38408</c:v>
                </c:pt>
                <c:pt idx="56">
                  <c:v>38409</c:v>
                </c:pt>
                <c:pt idx="57">
                  <c:v>38410</c:v>
                </c:pt>
                <c:pt idx="58">
                  <c:v>38411</c:v>
                </c:pt>
                <c:pt idx="59">
                  <c:v>38412</c:v>
                </c:pt>
                <c:pt idx="60">
                  <c:v>38413</c:v>
                </c:pt>
                <c:pt idx="61">
                  <c:v>38414</c:v>
                </c:pt>
                <c:pt idx="62">
                  <c:v>38415</c:v>
                </c:pt>
                <c:pt idx="63">
                  <c:v>38416</c:v>
                </c:pt>
                <c:pt idx="64">
                  <c:v>38417</c:v>
                </c:pt>
                <c:pt idx="65">
                  <c:v>38418</c:v>
                </c:pt>
                <c:pt idx="66">
                  <c:v>38419</c:v>
                </c:pt>
                <c:pt idx="67">
                  <c:v>38420</c:v>
                </c:pt>
                <c:pt idx="68">
                  <c:v>38421</c:v>
                </c:pt>
                <c:pt idx="69">
                  <c:v>38422</c:v>
                </c:pt>
                <c:pt idx="70">
                  <c:v>38423</c:v>
                </c:pt>
                <c:pt idx="71">
                  <c:v>38424</c:v>
                </c:pt>
                <c:pt idx="72">
                  <c:v>38425</c:v>
                </c:pt>
                <c:pt idx="73">
                  <c:v>38426</c:v>
                </c:pt>
                <c:pt idx="74">
                  <c:v>38427</c:v>
                </c:pt>
                <c:pt idx="75">
                  <c:v>38428</c:v>
                </c:pt>
                <c:pt idx="76">
                  <c:v>38429</c:v>
                </c:pt>
                <c:pt idx="77">
                  <c:v>38430</c:v>
                </c:pt>
                <c:pt idx="78">
                  <c:v>38431</c:v>
                </c:pt>
                <c:pt idx="79">
                  <c:v>38432</c:v>
                </c:pt>
                <c:pt idx="80">
                  <c:v>38433</c:v>
                </c:pt>
                <c:pt idx="81">
                  <c:v>38434</c:v>
                </c:pt>
                <c:pt idx="82">
                  <c:v>38435</c:v>
                </c:pt>
                <c:pt idx="83">
                  <c:v>38436</c:v>
                </c:pt>
                <c:pt idx="84">
                  <c:v>38437</c:v>
                </c:pt>
                <c:pt idx="85">
                  <c:v>38438</c:v>
                </c:pt>
                <c:pt idx="86">
                  <c:v>38439</c:v>
                </c:pt>
                <c:pt idx="87">
                  <c:v>38440</c:v>
                </c:pt>
                <c:pt idx="88">
                  <c:v>38441</c:v>
                </c:pt>
                <c:pt idx="89">
                  <c:v>38442</c:v>
                </c:pt>
                <c:pt idx="90">
                  <c:v>38443</c:v>
                </c:pt>
                <c:pt idx="91">
                  <c:v>38444</c:v>
                </c:pt>
                <c:pt idx="92">
                  <c:v>38445</c:v>
                </c:pt>
                <c:pt idx="93">
                  <c:v>38446</c:v>
                </c:pt>
                <c:pt idx="94">
                  <c:v>38447</c:v>
                </c:pt>
                <c:pt idx="95">
                  <c:v>38448</c:v>
                </c:pt>
                <c:pt idx="96">
                  <c:v>38449</c:v>
                </c:pt>
                <c:pt idx="97">
                  <c:v>38450</c:v>
                </c:pt>
                <c:pt idx="98">
                  <c:v>38451</c:v>
                </c:pt>
                <c:pt idx="99">
                  <c:v>38452</c:v>
                </c:pt>
                <c:pt idx="100">
                  <c:v>38453</c:v>
                </c:pt>
                <c:pt idx="101">
                  <c:v>38454</c:v>
                </c:pt>
                <c:pt idx="102">
                  <c:v>38455</c:v>
                </c:pt>
                <c:pt idx="103">
                  <c:v>38456</c:v>
                </c:pt>
                <c:pt idx="104">
                  <c:v>38457</c:v>
                </c:pt>
                <c:pt idx="105">
                  <c:v>38458</c:v>
                </c:pt>
                <c:pt idx="106">
                  <c:v>38459</c:v>
                </c:pt>
                <c:pt idx="107">
                  <c:v>38460</c:v>
                </c:pt>
                <c:pt idx="108">
                  <c:v>38461</c:v>
                </c:pt>
                <c:pt idx="109">
                  <c:v>38462</c:v>
                </c:pt>
                <c:pt idx="110">
                  <c:v>38463</c:v>
                </c:pt>
                <c:pt idx="111">
                  <c:v>38464</c:v>
                </c:pt>
                <c:pt idx="112">
                  <c:v>38465</c:v>
                </c:pt>
                <c:pt idx="113">
                  <c:v>38466</c:v>
                </c:pt>
                <c:pt idx="114">
                  <c:v>38467</c:v>
                </c:pt>
                <c:pt idx="115">
                  <c:v>38468</c:v>
                </c:pt>
                <c:pt idx="116">
                  <c:v>38469</c:v>
                </c:pt>
                <c:pt idx="117">
                  <c:v>38470</c:v>
                </c:pt>
                <c:pt idx="118">
                  <c:v>38471</c:v>
                </c:pt>
                <c:pt idx="119">
                  <c:v>38472</c:v>
                </c:pt>
                <c:pt idx="120">
                  <c:v>38473</c:v>
                </c:pt>
                <c:pt idx="121">
                  <c:v>38474</c:v>
                </c:pt>
                <c:pt idx="122">
                  <c:v>38475</c:v>
                </c:pt>
                <c:pt idx="123">
                  <c:v>38476</c:v>
                </c:pt>
                <c:pt idx="124">
                  <c:v>38477</c:v>
                </c:pt>
                <c:pt idx="125">
                  <c:v>38478</c:v>
                </c:pt>
                <c:pt idx="126">
                  <c:v>38479</c:v>
                </c:pt>
                <c:pt idx="127">
                  <c:v>38480</c:v>
                </c:pt>
                <c:pt idx="128">
                  <c:v>38481</c:v>
                </c:pt>
                <c:pt idx="129">
                  <c:v>38482</c:v>
                </c:pt>
                <c:pt idx="130">
                  <c:v>38483</c:v>
                </c:pt>
                <c:pt idx="131">
                  <c:v>38484</c:v>
                </c:pt>
                <c:pt idx="132">
                  <c:v>38485</c:v>
                </c:pt>
                <c:pt idx="133">
                  <c:v>38486</c:v>
                </c:pt>
                <c:pt idx="134">
                  <c:v>38487</c:v>
                </c:pt>
                <c:pt idx="135">
                  <c:v>38488</c:v>
                </c:pt>
                <c:pt idx="136">
                  <c:v>38489</c:v>
                </c:pt>
                <c:pt idx="137">
                  <c:v>38490</c:v>
                </c:pt>
                <c:pt idx="138">
                  <c:v>38491</c:v>
                </c:pt>
                <c:pt idx="139">
                  <c:v>38492</c:v>
                </c:pt>
                <c:pt idx="140">
                  <c:v>38493</c:v>
                </c:pt>
                <c:pt idx="141">
                  <c:v>38494</c:v>
                </c:pt>
                <c:pt idx="142">
                  <c:v>38495</c:v>
                </c:pt>
                <c:pt idx="143">
                  <c:v>38496</c:v>
                </c:pt>
                <c:pt idx="144">
                  <c:v>38497</c:v>
                </c:pt>
                <c:pt idx="145">
                  <c:v>38498</c:v>
                </c:pt>
                <c:pt idx="146">
                  <c:v>38499</c:v>
                </c:pt>
                <c:pt idx="147">
                  <c:v>38500</c:v>
                </c:pt>
                <c:pt idx="148">
                  <c:v>38501</c:v>
                </c:pt>
                <c:pt idx="149">
                  <c:v>38502</c:v>
                </c:pt>
                <c:pt idx="150">
                  <c:v>38503</c:v>
                </c:pt>
                <c:pt idx="151">
                  <c:v>38504</c:v>
                </c:pt>
                <c:pt idx="152">
                  <c:v>38505</c:v>
                </c:pt>
                <c:pt idx="153">
                  <c:v>38506</c:v>
                </c:pt>
                <c:pt idx="154">
                  <c:v>38507</c:v>
                </c:pt>
                <c:pt idx="155">
                  <c:v>38508</c:v>
                </c:pt>
                <c:pt idx="156">
                  <c:v>38509</c:v>
                </c:pt>
                <c:pt idx="157">
                  <c:v>38510</c:v>
                </c:pt>
                <c:pt idx="158">
                  <c:v>38511</c:v>
                </c:pt>
                <c:pt idx="159">
                  <c:v>38512</c:v>
                </c:pt>
                <c:pt idx="160">
                  <c:v>38513</c:v>
                </c:pt>
                <c:pt idx="161">
                  <c:v>38514</c:v>
                </c:pt>
                <c:pt idx="162">
                  <c:v>38515</c:v>
                </c:pt>
                <c:pt idx="163">
                  <c:v>38516</c:v>
                </c:pt>
                <c:pt idx="164">
                  <c:v>38517</c:v>
                </c:pt>
                <c:pt idx="165">
                  <c:v>38518</c:v>
                </c:pt>
                <c:pt idx="166">
                  <c:v>38519</c:v>
                </c:pt>
                <c:pt idx="167">
                  <c:v>38520</c:v>
                </c:pt>
                <c:pt idx="168">
                  <c:v>38521</c:v>
                </c:pt>
                <c:pt idx="169">
                  <c:v>38522</c:v>
                </c:pt>
                <c:pt idx="170">
                  <c:v>38523</c:v>
                </c:pt>
                <c:pt idx="171">
                  <c:v>38524</c:v>
                </c:pt>
                <c:pt idx="172">
                  <c:v>38525</c:v>
                </c:pt>
                <c:pt idx="173">
                  <c:v>38526</c:v>
                </c:pt>
                <c:pt idx="174">
                  <c:v>38527</c:v>
                </c:pt>
                <c:pt idx="175">
                  <c:v>38528</c:v>
                </c:pt>
                <c:pt idx="176">
                  <c:v>38529</c:v>
                </c:pt>
                <c:pt idx="177">
                  <c:v>38530</c:v>
                </c:pt>
                <c:pt idx="178">
                  <c:v>38531</c:v>
                </c:pt>
                <c:pt idx="179">
                  <c:v>38532</c:v>
                </c:pt>
                <c:pt idx="180">
                  <c:v>38533</c:v>
                </c:pt>
                <c:pt idx="181">
                  <c:v>38534</c:v>
                </c:pt>
                <c:pt idx="182">
                  <c:v>38535</c:v>
                </c:pt>
                <c:pt idx="183">
                  <c:v>38536</c:v>
                </c:pt>
                <c:pt idx="184">
                  <c:v>38537</c:v>
                </c:pt>
                <c:pt idx="185">
                  <c:v>38538</c:v>
                </c:pt>
                <c:pt idx="186">
                  <c:v>38539</c:v>
                </c:pt>
                <c:pt idx="187">
                  <c:v>38540</c:v>
                </c:pt>
                <c:pt idx="188">
                  <c:v>38541</c:v>
                </c:pt>
                <c:pt idx="189">
                  <c:v>38542</c:v>
                </c:pt>
                <c:pt idx="190">
                  <c:v>38543</c:v>
                </c:pt>
                <c:pt idx="191">
                  <c:v>38544</c:v>
                </c:pt>
                <c:pt idx="192">
                  <c:v>38545</c:v>
                </c:pt>
                <c:pt idx="193">
                  <c:v>38546</c:v>
                </c:pt>
                <c:pt idx="194">
                  <c:v>38547</c:v>
                </c:pt>
                <c:pt idx="195">
                  <c:v>38548</c:v>
                </c:pt>
                <c:pt idx="196">
                  <c:v>38549</c:v>
                </c:pt>
                <c:pt idx="197">
                  <c:v>38550</c:v>
                </c:pt>
                <c:pt idx="198">
                  <c:v>38551</c:v>
                </c:pt>
                <c:pt idx="199">
                  <c:v>38552</c:v>
                </c:pt>
                <c:pt idx="200">
                  <c:v>38553</c:v>
                </c:pt>
                <c:pt idx="201">
                  <c:v>38554</c:v>
                </c:pt>
                <c:pt idx="202">
                  <c:v>38555</c:v>
                </c:pt>
                <c:pt idx="203">
                  <c:v>38556</c:v>
                </c:pt>
                <c:pt idx="204">
                  <c:v>38557</c:v>
                </c:pt>
                <c:pt idx="205">
                  <c:v>38558</c:v>
                </c:pt>
                <c:pt idx="206">
                  <c:v>38559</c:v>
                </c:pt>
                <c:pt idx="207">
                  <c:v>38560</c:v>
                </c:pt>
                <c:pt idx="208">
                  <c:v>38561</c:v>
                </c:pt>
                <c:pt idx="209">
                  <c:v>38562</c:v>
                </c:pt>
                <c:pt idx="210">
                  <c:v>38563</c:v>
                </c:pt>
                <c:pt idx="211">
                  <c:v>38564</c:v>
                </c:pt>
                <c:pt idx="212">
                  <c:v>38565</c:v>
                </c:pt>
                <c:pt idx="213">
                  <c:v>38566</c:v>
                </c:pt>
                <c:pt idx="214">
                  <c:v>38567</c:v>
                </c:pt>
                <c:pt idx="215">
                  <c:v>38568</c:v>
                </c:pt>
                <c:pt idx="216">
                  <c:v>38569</c:v>
                </c:pt>
                <c:pt idx="217">
                  <c:v>38570</c:v>
                </c:pt>
                <c:pt idx="218">
                  <c:v>38571</c:v>
                </c:pt>
                <c:pt idx="219">
                  <c:v>38572</c:v>
                </c:pt>
                <c:pt idx="220">
                  <c:v>38573</c:v>
                </c:pt>
                <c:pt idx="221">
                  <c:v>38574</c:v>
                </c:pt>
                <c:pt idx="222">
                  <c:v>38575</c:v>
                </c:pt>
                <c:pt idx="223">
                  <c:v>38576</c:v>
                </c:pt>
                <c:pt idx="224">
                  <c:v>38577</c:v>
                </c:pt>
                <c:pt idx="225">
                  <c:v>38578</c:v>
                </c:pt>
                <c:pt idx="226">
                  <c:v>38579</c:v>
                </c:pt>
                <c:pt idx="227">
                  <c:v>38580</c:v>
                </c:pt>
                <c:pt idx="228">
                  <c:v>38581</c:v>
                </c:pt>
                <c:pt idx="229">
                  <c:v>38582</c:v>
                </c:pt>
                <c:pt idx="230">
                  <c:v>38583</c:v>
                </c:pt>
                <c:pt idx="231">
                  <c:v>38584</c:v>
                </c:pt>
                <c:pt idx="232">
                  <c:v>38585</c:v>
                </c:pt>
                <c:pt idx="233">
                  <c:v>38586</c:v>
                </c:pt>
                <c:pt idx="234">
                  <c:v>38587</c:v>
                </c:pt>
                <c:pt idx="235">
                  <c:v>38588</c:v>
                </c:pt>
                <c:pt idx="236">
                  <c:v>38589</c:v>
                </c:pt>
                <c:pt idx="237">
                  <c:v>38590</c:v>
                </c:pt>
                <c:pt idx="238">
                  <c:v>38591</c:v>
                </c:pt>
                <c:pt idx="239">
                  <c:v>38592</c:v>
                </c:pt>
                <c:pt idx="240">
                  <c:v>38593</c:v>
                </c:pt>
                <c:pt idx="241">
                  <c:v>38594</c:v>
                </c:pt>
                <c:pt idx="242">
                  <c:v>38595</c:v>
                </c:pt>
                <c:pt idx="243">
                  <c:v>38596</c:v>
                </c:pt>
                <c:pt idx="244">
                  <c:v>38597</c:v>
                </c:pt>
                <c:pt idx="245">
                  <c:v>38598</c:v>
                </c:pt>
                <c:pt idx="246">
                  <c:v>38599</c:v>
                </c:pt>
                <c:pt idx="247">
                  <c:v>38600</c:v>
                </c:pt>
                <c:pt idx="248">
                  <c:v>38601</c:v>
                </c:pt>
                <c:pt idx="249">
                  <c:v>38602</c:v>
                </c:pt>
                <c:pt idx="250">
                  <c:v>38603</c:v>
                </c:pt>
                <c:pt idx="251">
                  <c:v>38604</c:v>
                </c:pt>
                <c:pt idx="252">
                  <c:v>38605</c:v>
                </c:pt>
                <c:pt idx="253">
                  <c:v>38606</c:v>
                </c:pt>
                <c:pt idx="254">
                  <c:v>38607</c:v>
                </c:pt>
                <c:pt idx="255">
                  <c:v>38608</c:v>
                </c:pt>
                <c:pt idx="256">
                  <c:v>38609</c:v>
                </c:pt>
                <c:pt idx="257">
                  <c:v>38610</c:v>
                </c:pt>
                <c:pt idx="258">
                  <c:v>38611</c:v>
                </c:pt>
                <c:pt idx="259">
                  <c:v>38612</c:v>
                </c:pt>
                <c:pt idx="260">
                  <c:v>38613</c:v>
                </c:pt>
                <c:pt idx="261">
                  <c:v>38614</c:v>
                </c:pt>
                <c:pt idx="262">
                  <c:v>38615</c:v>
                </c:pt>
                <c:pt idx="263">
                  <c:v>38616</c:v>
                </c:pt>
                <c:pt idx="264">
                  <c:v>38617</c:v>
                </c:pt>
                <c:pt idx="265">
                  <c:v>38618</c:v>
                </c:pt>
                <c:pt idx="266">
                  <c:v>38619</c:v>
                </c:pt>
                <c:pt idx="267">
                  <c:v>38620</c:v>
                </c:pt>
                <c:pt idx="268">
                  <c:v>38621</c:v>
                </c:pt>
                <c:pt idx="269">
                  <c:v>38622</c:v>
                </c:pt>
                <c:pt idx="270">
                  <c:v>38623</c:v>
                </c:pt>
                <c:pt idx="271">
                  <c:v>38624</c:v>
                </c:pt>
                <c:pt idx="272">
                  <c:v>38625</c:v>
                </c:pt>
                <c:pt idx="273">
                  <c:v>38626</c:v>
                </c:pt>
                <c:pt idx="274">
                  <c:v>38627</c:v>
                </c:pt>
                <c:pt idx="275">
                  <c:v>38628</c:v>
                </c:pt>
                <c:pt idx="276">
                  <c:v>38629</c:v>
                </c:pt>
                <c:pt idx="277">
                  <c:v>38630</c:v>
                </c:pt>
                <c:pt idx="278">
                  <c:v>38631</c:v>
                </c:pt>
                <c:pt idx="279">
                  <c:v>38632</c:v>
                </c:pt>
                <c:pt idx="280">
                  <c:v>38633</c:v>
                </c:pt>
                <c:pt idx="281">
                  <c:v>38634</c:v>
                </c:pt>
                <c:pt idx="282">
                  <c:v>38635</c:v>
                </c:pt>
                <c:pt idx="283">
                  <c:v>38636</c:v>
                </c:pt>
                <c:pt idx="284">
                  <c:v>38637</c:v>
                </c:pt>
                <c:pt idx="285">
                  <c:v>38638</c:v>
                </c:pt>
                <c:pt idx="286">
                  <c:v>38639</c:v>
                </c:pt>
                <c:pt idx="287">
                  <c:v>38640</c:v>
                </c:pt>
                <c:pt idx="288">
                  <c:v>38641</c:v>
                </c:pt>
                <c:pt idx="289">
                  <c:v>38642</c:v>
                </c:pt>
                <c:pt idx="290">
                  <c:v>38643</c:v>
                </c:pt>
                <c:pt idx="291">
                  <c:v>38644</c:v>
                </c:pt>
                <c:pt idx="292">
                  <c:v>38645</c:v>
                </c:pt>
                <c:pt idx="293">
                  <c:v>38646</c:v>
                </c:pt>
                <c:pt idx="294">
                  <c:v>38647</c:v>
                </c:pt>
                <c:pt idx="295">
                  <c:v>38648</c:v>
                </c:pt>
                <c:pt idx="296">
                  <c:v>38649</c:v>
                </c:pt>
                <c:pt idx="297">
                  <c:v>38650</c:v>
                </c:pt>
                <c:pt idx="298">
                  <c:v>38651</c:v>
                </c:pt>
                <c:pt idx="299">
                  <c:v>38652</c:v>
                </c:pt>
                <c:pt idx="300">
                  <c:v>38653</c:v>
                </c:pt>
                <c:pt idx="301">
                  <c:v>38654</c:v>
                </c:pt>
                <c:pt idx="302">
                  <c:v>38655</c:v>
                </c:pt>
                <c:pt idx="303">
                  <c:v>38656</c:v>
                </c:pt>
                <c:pt idx="304">
                  <c:v>38657</c:v>
                </c:pt>
                <c:pt idx="305">
                  <c:v>38658</c:v>
                </c:pt>
                <c:pt idx="306">
                  <c:v>38659</c:v>
                </c:pt>
                <c:pt idx="307">
                  <c:v>38660</c:v>
                </c:pt>
                <c:pt idx="308">
                  <c:v>38661</c:v>
                </c:pt>
                <c:pt idx="309">
                  <c:v>38662</c:v>
                </c:pt>
                <c:pt idx="310">
                  <c:v>38663</c:v>
                </c:pt>
                <c:pt idx="311">
                  <c:v>38664</c:v>
                </c:pt>
                <c:pt idx="312">
                  <c:v>38665</c:v>
                </c:pt>
                <c:pt idx="313">
                  <c:v>38666</c:v>
                </c:pt>
                <c:pt idx="314">
                  <c:v>38667</c:v>
                </c:pt>
                <c:pt idx="315">
                  <c:v>38668</c:v>
                </c:pt>
                <c:pt idx="316">
                  <c:v>38669</c:v>
                </c:pt>
                <c:pt idx="317">
                  <c:v>38670</c:v>
                </c:pt>
                <c:pt idx="318">
                  <c:v>38671</c:v>
                </c:pt>
                <c:pt idx="319">
                  <c:v>38672</c:v>
                </c:pt>
                <c:pt idx="320">
                  <c:v>38673</c:v>
                </c:pt>
                <c:pt idx="321">
                  <c:v>38674</c:v>
                </c:pt>
                <c:pt idx="322">
                  <c:v>38675</c:v>
                </c:pt>
                <c:pt idx="323">
                  <c:v>38676</c:v>
                </c:pt>
                <c:pt idx="324">
                  <c:v>38677</c:v>
                </c:pt>
                <c:pt idx="325">
                  <c:v>38678</c:v>
                </c:pt>
                <c:pt idx="326">
                  <c:v>38679</c:v>
                </c:pt>
                <c:pt idx="327">
                  <c:v>38680</c:v>
                </c:pt>
                <c:pt idx="328">
                  <c:v>38681</c:v>
                </c:pt>
                <c:pt idx="329">
                  <c:v>38682</c:v>
                </c:pt>
                <c:pt idx="330">
                  <c:v>38683</c:v>
                </c:pt>
                <c:pt idx="331">
                  <c:v>38684</c:v>
                </c:pt>
                <c:pt idx="332">
                  <c:v>38685</c:v>
                </c:pt>
                <c:pt idx="333">
                  <c:v>38686</c:v>
                </c:pt>
                <c:pt idx="334">
                  <c:v>38687</c:v>
                </c:pt>
                <c:pt idx="335">
                  <c:v>38688</c:v>
                </c:pt>
                <c:pt idx="336">
                  <c:v>38689</c:v>
                </c:pt>
                <c:pt idx="337">
                  <c:v>38690</c:v>
                </c:pt>
                <c:pt idx="338">
                  <c:v>38691</c:v>
                </c:pt>
                <c:pt idx="339">
                  <c:v>38692</c:v>
                </c:pt>
                <c:pt idx="340">
                  <c:v>38693</c:v>
                </c:pt>
                <c:pt idx="341">
                  <c:v>38694</c:v>
                </c:pt>
                <c:pt idx="342">
                  <c:v>38695</c:v>
                </c:pt>
                <c:pt idx="343">
                  <c:v>38696</c:v>
                </c:pt>
                <c:pt idx="344">
                  <c:v>38697</c:v>
                </c:pt>
                <c:pt idx="345">
                  <c:v>38698</c:v>
                </c:pt>
                <c:pt idx="346">
                  <c:v>38699</c:v>
                </c:pt>
                <c:pt idx="347">
                  <c:v>38700</c:v>
                </c:pt>
                <c:pt idx="348">
                  <c:v>38701</c:v>
                </c:pt>
                <c:pt idx="349">
                  <c:v>38702</c:v>
                </c:pt>
                <c:pt idx="350">
                  <c:v>38703</c:v>
                </c:pt>
                <c:pt idx="351">
                  <c:v>38704</c:v>
                </c:pt>
                <c:pt idx="352">
                  <c:v>38705</c:v>
                </c:pt>
                <c:pt idx="353">
                  <c:v>38706</c:v>
                </c:pt>
                <c:pt idx="354">
                  <c:v>38707</c:v>
                </c:pt>
                <c:pt idx="355">
                  <c:v>38708</c:v>
                </c:pt>
                <c:pt idx="356">
                  <c:v>38709</c:v>
                </c:pt>
                <c:pt idx="357">
                  <c:v>38710</c:v>
                </c:pt>
                <c:pt idx="358">
                  <c:v>38711</c:v>
                </c:pt>
                <c:pt idx="359">
                  <c:v>38712</c:v>
                </c:pt>
                <c:pt idx="360">
                  <c:v>38713</c:v>
                </c:pt>
                <c:pt idx="361">
                  <c:v>38714</c:v>
                </c:pt>
                <c:pt idx="362">
                  <c:v>38715</c:v>
                </c:pt>
                <c:pt idx="363">
                  <c:v>38716</c:v>
                </c:pt>
                <c:pt idx="364">
                  <c:v>38717</c:v>
                </c:pt>
              </c:numCache>
            </c:numRef>
          </c:xVal>
          <c:yVal>
            <c:numRef>
              <c:f>[0]!_PX50</c:f>
              <c:numCache>
                <c:formatCode>General</c:formatCode>
                <c:ptCount val="365"/>
                <c:pt idx="0">
                  <c:v>0</c:v>
                </c:pt>
                <c:pt idx="1">
                  <c:v>0</c:v>
                </c:pt>
                <c:pt idx="2">
                  <c:v>1050.5999999999999</c:v>
                </c:pt>
                <c:pt idx="3">
                  <c:v>1071.7</c:v>
                </c:pt>
                <c:pt idx="4">
                  <c:v>1073.4000000000001</c:v>
                </c:pt>
                <c:pt idx="5">
                  <c:v>1061</c:v>
                </c:pt>
                <c:pt idx="6">
                  <c:v>1071.0999999999999</c:v>
                </c:pt>
                <c:pt idx="7">
                  <c:v>0</c:v>
                </c:pt>
                <c:pt idx="8">
                  <c:v>0</c:v>
                </c:pt>
                <c:pt idx="9">
                  <c:v>1072.0999999999999</c:v>
                </c:pt>
                <c:pt idx="10">
                  <c:v>1074.8</c:v>
                </c:pt>
                <c:pt idx="11">
                  <c:v>1066.5999999999999</c:v>
                </c:pt>
                <c:pt idx="12">
                  <c:v>1055.3</c:v>
                </c:pt>
                <c:pt idx="13">
                  <c:v>1060.9000000000001</c:v>
                </c:pt>
                <c:pt idx="14">
                  <c:v>0</c:v>
                </c:pt>
                <c:pt idx="15">
                  <c:v>0</c:v>
                </c:pt>
                <c:pt idx="16">
                  <c:v>1073.0999999999999</c:v>
                </c:pt>
                <c:pt idx="17">
                  <c:v>1068.5</c:v>
                </c:pt>
                <c:pt idx="18">
                  <c:v>1061.0999999999999</c:v>
                </c:pt>
                <c:pt idx="19">
                  <c:v>1053.3</c:v>
                </c:pt>
                <c:pt idx="20">
                  <c:v>1056.2</c:v>
                </c:pt>
                <c:pt idx="21">
                  <c:v>0</c:v>
                </c:pt>
                <c:pt idx="22">
                  <c:v>0</c:v>
                </c:pt>
                <c:pt idx="23">
                  <c:v>1063.2</c:v>
                </c:pt>
                <c:pt idx="24">
                  <c:v>1094.4000000000001</c:v>
                </c:pt>
                <c:pt idx="25">
                  <c:v>1098.3</c:v>
                </c:pt>
                <c:pt idx="26">
                  <c:v>1094.2</c:v>
                </c:pt>
                <c:pt idx="27">
                  <c:v>1102.2</c:v>
                </c:pt>
                <c:pt idx="28">
                  <c:v>0</c:v>
                </c:pt>
                <c:pt idx="29">
                  <c:v>0</c:v>
                </c:pt>
                <c:pt idx="30">
                  <c:v>1096.2</c:v>
                </c:pt>
                <c:pt idx="31">
                  <c:v>1106.5999999999999</c:v>
                </c:pt>
                <c:pt idx="32">
                  <c:v>1102.7</c:v>
                </c:pt>
                <c:pt idx="33">
                  <c:v>1106.7</c:v>
                </c:pt>
                <c:pt idx="34">
                  <c:v>1105.3</c:v>
                </c:pt>
                <c:pt idx="35">
                  <c:v>0</c:v>
                </c:pt>
                <c:pt idx="36">
                  <c:v>0</c:v>
                </c:pt>
                <c:pt idx="37">
                  <c:v>1108.8</c:v>
                </c:pt>
                <c:pt idx="38">
                  <c:v>1118.0999999999999</c:v>
                </c:pt>
                <c:pt idx="39">
                  <c:v>1121.0999999999999</c:v>
                </c:pt>
                <c:pt idx="40">
                  <c:v>1118</c:v>
                </c:pt>
                <c:pt idx="41">
                  <c:v>1135.5999999999999</c:v>
                </c:pt>
                <c:pt idx="42">
                  <c:v>0</c:v>
                </c:pt>
                <c:pt idx="43">
                  <c:v>0</c:v>
                </c:pt>
                <c:pt idx="44">
                  <c:v>1141.5999999999999</c:v>
                </c:pt>
                <c:pt idx="45">
                  <c:v>1142.4000000000001</c:v>
                </c:pt>
                <c:pt idx="46">
                  <c:v>1148.5999999999999</c:v>
                </c:pt>
                <c:pt idx="47">
                  <c:v>1139.7</c:v>
                </c:pt>
                <c:pt idx="48">
                  <c:v>1147.9000000000001</c:v>
                </c:pt>
                <c:pt idx="49">
                  <c:v>0</c:v>
                </c:pt>
                <c:pt idx="50">
                  <c:v>0</c:v>
                </c:pt>
                <c:pt idx="51">
                  <c:v>1161.2</c:v>
                </c:pt>
                <c:pt idx="52">
                  <c:v>1176.5999999999999</c:v>
                </c:pt>
                <c:pt idx="53">
                  <c:v>1174</c:v>
                </c:pt>
                <c:pt idx="54">
                  <c:v>1171.9000000000001</c:v>
                </c:pt>
                <c:pt idx="55">
                  <c:v>1187.9000000000001</c:v>
                </c:pt>
                <c:pt idx="56">
                  <c:v>0</c:v>
                </c:pt>
                <c:pt idx="57">
                  <c:v>0</c:v>
                </c:pt>
                <c:pt idx="58">
                  <c:v>1199.9000000000001</c:v>
                </c:pt>
                <c:pt idx="59">
                  <c:v>1212.9000000000001</c:v>
                </c:pt>
                <c:pt idx="60">
                  <c:v>1211.3</c:v>
                </c:pt>
                <c:pt idx="61">
                  <c:v>1205.0999999999999</c:v>
                </c:pt>
                <c:pt idx="62">
                  <c:v>1217.5999999999999</c:v>
                </c:pt>
                <c:pt idx="63">
                  <c:v>0</c:v>
                </c:pt>
                <c:pt idx="64">
                  <c:v>0</c:v>
                </c:pt>
                <c:pt idx="65">
                  <c:v>1250.4000000000001</c:v>
                </c:pt>
                <c:pt idx="66">
                  <c:v>1240.9000000000001</c:v>
                </c:pt>
                <c:pt idx="67">
                  <c:v>1250.0999999999999</c:v>
                </c:pt>
                <c:pt idx="68">
                  <c:v>1262.7</c:v>
                </c:pt>
                <c:pt idx="69">
                  <c:v>1255.8</c:v>
                </c:pt>
                <c:pt idx="70">
                  <c:v>0</c:v>
                </c:pt>
                <c:pt idx="71">
                  <c:v>0</c:v>
                </c:pt>
                <c:pt idx="72">
                  <c:v>1220.0999999999999</c:v>
                </c:pt>
                <c:pt idx="73">
                  <c:v>1214.0999999999999</c:v>
                </c:pt>
                <c:pt idx="74">
                  <c:v>1143.4000000000001</c:v>
                </c:pt>
                <c:pt idx="75">
                  <c:v>1131.7</c:v>
                </c:pt>
                <c:pt idx="76">
                  <c:v>1137.7</c:v>
                </c:pt>
                <c:pt idx="77">
                  <c:v>0</c:v>
                </c:pt>
                <c:pt idx="78">
                  <c:v>0</c:v>
                </c:pt>
                <c:pt idx="79">
                  <c:v>1117.4000000000001</c:v>
                </c:pt>
                <c:pt idx="80">
                  <c:v>1147.5999999999999</c:v>
                </c:pt>
                <c:pt idx="81">
                  <c:v>1145</c:v>
                </c:pt>
                <c:pt idx="82">
                  <c:v>1170.0999999999999</c:v>
                </c:pt>
                <c:pt idx="83">
                  <c:v>1175.2</c:v>
                </c:pt>
                <c:pt idx="84">
                  <c:v>0</c:v>
                </c:pt>
                <c:pt idx="85">
                  <c:v>0</c:v>
                </c:pt>
                <c:pt idx="86">
                  <c:v>0</c:v>
                </c:pt>
                <c:pt idx="87">
                  <c:v>1162</c:v>
                </c:pt>
                <c:pt idx="88">
                  <c:v>1137.2</c:v>
                </c:pt>
                <c:pt idx="89">
                  <c:v>1168.4000000000001</c:v>
                </c:pt>
                <c:pt idx="90">
                  <c:v>1168.9000000000001</c:v>
                </c:pt>
                <c:pt idx="91">
                  <c:v>0</c:v>
                </c:pt>
                <c:pt idx="92">
                  <c:v>0</c:v>
                </c:pt>
                <c:pt idx="93">
                  <c:v>1161.4000000000001</c:v>
                </c:pt>
                <c:pt idx="94">
                  <c:v>1177.0999999999999</c:v>
                </c:pt>
                <c:pt idx="95">
                  <c:v>1186.0999999999999</c:v>
                </c:pt>
                <c:pt idx="96">
                  <c:v>1188.7</c:v>
                </c:pt>
                <c:pt idx="97">
                  <c:v>1191.7</c:v>
                </c:pt>
                <c:pt idx="98">
                  <c:v>0</c:v>
                </c:pt>
                <c:pt idx="99">
                  <c:v>0</c:v>
                </c:pt>
                <c:pt idx="100">
                  <c:v>1188.2</c:v>
                </c:pt>
                <c:pt idx="101">
                  <c:v>1191.9000000000001</c:v>
                </c:pt>
                <c:pt idx="102">
                  <c:v>1199.9000000000001</c:v>
                </c:pt>
                <c:pt idx="103">
                  <c:v>1197.2</c:v>
                </c:pt>
                <c:pt idx="104">
                  <c:v>1186.3</c:v>
                </c:pt>
                <c:pt idx="105">
                  <c:v>0</c:v>
                </c:pt>
                <c:pt idx="106">
                  <c:v>0</c:v>
                </c:pt>
                <c:pt idx="107">
                  <c:v>1164.4000000000001</c:v>
                </c:pt>
                <c:pt idx="108">
                  <c:v>1170.5999999999999</c:v>
                </c:pt>
                <c:pt idx="109">
                  <c:v>1163.8</c:v>
                </c:pt>
                <c:pt idx="110">
                  <c:v>1160.7</c:v>
                </c:pt>
                <c:pt idx="111">
                  <c:v>1169.7</c:v>
                </c:pt>
                <c:pt idx="112">
                  <c:v>0</c:v>
                </c:pt>
                <c:pt idx="113">
                  <c:v>0</c:v>
                </c:pt>
                <c:pt idx="114">
                  <c:v>1164.7</c:v>
                </c:pt>
                <c:pt idx="115">
                  <c:v>1169.7</c:v>
                </c:pt>
                <c:pt idx="116">
                  <c:v>1142.8</c:v>
                </c:pt>
                <c:pt idx="117">
                  <c:v>1129.9000000000001</c:v>
                </c:pt>
                <c:pt idx="118">
                  <c:v>1136.5</c:v>
                </c:pt>
                <c:pt idx="119">
                  <c:v>0</c:v>
                </c:pt>
                <c:pt idx="120">
                  <c:v>0</c:v>
                </c:pt>
                <c:pt idx="121">
                  <c:v>1145.5999999999999</c:v>
                </c:pt>
                <c:pt idx="122">
                  <c:v>1135.4000000000001</c:v>
                </c:pt>
                <c:pt idx="123">
                  <c:v>1111.2</c:v>
                </c:pt>
                <c:pt idx="124">
                  <c:v>1117.2</c:v>
                </c:pt>
                <c:pt idx="125">
                  <c:v>1116.7</c:v>
                </c:pt>
                <c:pt idx="126">
                  <c:v>0</c:v>
                </c:pt>
                <c:pt idx="127">
                  <c:v>0</c:v>
                </c:pt>
                <c:pt idx="128">
                  <c:v>1127.9000000000001</c:v>
                </c:pt>
                <c:pt idx="129">
                  <c:v>1121.4000000000001</c:v>
                </c:pt>
                <c:pt idx="130">
                  <c:v>1113.5999999999999</c:v>
                </c:pt>
                <c:pt idx="131">
                  <c:v>1099.9000000000001</c:v>
                </c:pt>
                <c:pt idx="132">
                  <c:v>1084.5999999999999</c:v>
                </c:pt>
                <c:pt idx="133">
                  <c:v>0</c:v>
                </c:pt>
                <c:pt idx="134">
                  <c:v>0</c:v>
                </c:pt>
                <c:pt idx="135">
                  <c:v>1068.5999999999999</c:v>
                </c:pt>
                <c:pt idx="136">
                  <c:v>1071.7</c:v>
                </c:pt>
                <c:pt idx="137">
                  <c:v>1110.8</c:v>
                </c:pt>
                <c:pt idx="138">
                  <c:v>1128.9000000000001</c:v>
                </c:pt>
                <c:pt idx="139">
                  <c:v>1137.4000000000001</c:v>
                </c:pt>
                <c:pt idx="140">
                  <c:v>0</c:v>
                </c:pt>
                <c:pt idx="141">
                  <c:v>0</c:v>
                </c:pt>
                <c:pt idx="142">
                  <c:v>1139.2</c:v>
                </c:pt>
                <c:pt idx="143">
                  <c:v>1136.5</c:v>
                </c:pt>
                <c:pt idx="144">
                  <c:v>1121.3</c:v>
                </c:pt>
                <c:pt idx="145">
                  <c:v>1128.7</c:v>
                </c:pt>
                <c:pt idx="146">
                  <c:v>1139.0999999999999</c:v>
                </c:pt>
                <c:pt idx="147">
                  <c:v>0</c:v>
                </c:pt>
                <c:pt idx="148">
                  <c:v>0</c:v>
                </c:pt>
                <c:pt idx="149">
                  <c:v>1141.7</c:v>
                </c:pt>
                <c:pt idx="150">
                  <c:v>1156.0999999999999</c:v>
                </c:pt>
                <c:pt idx="151">
                  <c:v>1158.5</c:v>
                </c:pt>
                <c:pt idx="152">
                  <c:v>1166.4000000000001</c:v>
                </c:pt>
                <c:pt idx="153">
                  <c:v>1162.0999999999999</c:v>
                </c:pt>
                <c:pt idx="154">
                  <c:v>0</c:v>
                </c:pt>
                <c:pt idx="155">
                  <c:v>0</c:v>
                </c:pt>
                <c:pt idx="156">
                  <c:v>1159.4000000000001</c:v>
                </c:pt>
                <c:pt idx="157">
                  <c:v>1165.9000000000001</c:v>
                </c:pt>
                <c:pt idx="158">
                  <c:v>1176.9000000000001</c:v>
                </c:pt>
                <c:pt idx="159">
                  <c:v>1187.8</c:v>
                </c:pt>
                <c:pt idx="160">
                  <c:v>1191.3</c:v>
                </c:pt>
                <c:pt idx="161">
                  <c:v>0</c:v>
                </c:pt>
                <c:pt idx="162">
                  <c:v>0</c:v>
                </c:pt>
                <c:pt idx="163">
                  <c:v>1203.2</c:v>
                </c:pt>
                <c:pt idx="164">
                  <c:v>1193.8</c:v>
                </c:pt>
                <c:pt idx="165">
                  <c:v>1196.8</c:v>
                </c:pt>
                <c:pt idx="166">
                  <c:v>1225.5</c:v>
                </c:pt>
                <c:pt idx="167">
                  <c:v>1221.5</c:v>
                </c:pt>
                <c:pt idx="168">
                  <c:v>0</c:v>
                </c:pt>
                <c:pt idx="169">
                  <c:v>0</c:v>
                </c:pt>
                <c:pt idx="170">
                  <c:v>1228.5999999999999</c:v>
                </c:pt>
                <c:pt idx="171">
                  <c:v>1213</c:v>
                </c:pt>
                <c:pt idx="172">
                  <c:v>1220.7</c:v>
                </c:pt>
                <c:pt idx="173">
                  <c:v>1209.7</c:v>
                </c:pt>
                <c:pt idx="174">
                  <c:v>1201.8</c:v>
                </c:pt>
                <c:pt idx="175">
                  <c:v>0</c:v>
                </c:pt>
                <c:pt idx="176">
                  <c:v>0</c:v>
                </c:pt>
                <c:pt idx="177">
                  <c:v>1200.7</c:v>
                </c:pt>
                <c:pt idx="178">
                  <c:v>1204.2</c:v>
                </c:pt>
                <c:pt idx="179">
                  <c:v>1207.9000000000001</c:v>
                </c:pt>
                <c:pt idx="180">
                  <c:v>1210.0999999999999</c:v>
                </c:pt>
                <c:pt idx="181">
                  <c:v>1214.7</c:v>
                </c:pt>
                <c:pt idx="182">
                  <c:v>0</c:v>
                </c:pt>
                <c:pt idx="183">
                  <c:v>0</c:v>
                </c:pt>
                <c:pt idx="184">
                  <c:v>1220.8</c:v>
                </c:pt>
                <c:pt idx="185">
                  <c:v>0</c:v>
                </c:pt>
                <c:pt idx="186">
                  <c:v>0</c:v>
                </c:pt>
                <c:pt idx="187">
                  <c:v>1219.0999999999999</c:v>
                </c:pt>
                <c:pt idx="188">
                  <c:v>1224.7</c:v>
                </c:pt>
                <c:pt idx="189">
                  <c:v>0</c:v>
                </c:pt>
                <c:pt idx="190">
                  <c:v>0</c:v>
                </c:pt>
                <c:pt idx="191">
                  <c:v>1228.2</c:v>
                </c:pt>
                <c:pt idx="192">
                  <c:v>1238.5</c:v>
                </c:pt>
                <c:pt idx="193">
                  <c:v>1237.2</c:v>
                </c:pt>
                <c:pt idx="194">
                  <c:v>1240.5999999999999</c:v>
                </c:pt>
                <c:pt idx="195">
                  <c:v>1237.8</c:v>
                </c:pt>
                <c:pt idx="196">
                  <c:v>0</c:v>
                </c:pt>
                <c:pt idx="197">
                  <c:v>0</c:v>
                </c:pt>
                <c:pt idx="198">
                  <c:v>1233</c:v>
                </c:pt>
                <c:pt idx="199">
                  <c:v>1240.5</c:v>
                </c:pt>
                <c:pt idx="200">
                  <c:v>1241</c:v>
                </c:pt>
                <c:pt idx="201">
                  <c:v>1238.5999999999999</c:v>
                </c:pt>
                <c:pt idx="202">
                  <c:v>1247</c:v>
                </c:pt>
                <c:pt idx="203">
                  <c:v>0</c:v>
                </c:pt>
                <c:pt idx="204">
                  <c:v>0</c:v>
                </c:pt>
                <c:pt idx="205">
                  <c:v>1253.5</c:v>
                </c:pt>
                <c:pt idx="206">
                  <c:v>1249.5999999999999</c:v>
                </c:pt>
                <c:pt idx="207">
                  <c:v>1258.2</c:v>
                </c:pt>
                <c:pt idx="208">
                  <c:v>1252.8</c:v>
                </c:pt>
                <c:pt idx="209">
                  <c:v>1262.3</c:v>
                </c:pt>
                <c:pt idx="210">
                  <c:v>0</c:v>
                </c:pt>
                <c:pt idx="211">
                  <c:v>0</c:v>
                </c:pt>
                <c:pt idx="212">
                  <c:v>1263</c:v>
                </c:pt>
                <c:pt idx="213">
                  <c:v>1264.8</c:v>
                </c:pt>
                <c:pt idx="214">
                  <c:v>1262.2</c:v>
                </c:pt>
                <c:pt idx="215">
                  <c:v>1274.5</c:v>
                </c:pt>
                <c:pt idx="216">
                  <c:v>1270.9000000000001</c:v>
                </c:pt>
                <c:pt idx="217">
                  <c:v>0</c:v>
                </c:pt>
                <c:pt idx="218">
                  <c:v>0</c:v>
                </c:pt>
                <c:pt idx="219">
                  <c:v>1274</c:v>
                </c:pt>
                <c:pt idx="220">
                  <c:v>1279.3</c:v>
                </c:pt>
                <c:pt idx="221">
                  <c:v>1285</c:v>
                </c:pt>
                <c:pt idx="222">
                  <c:v>1288.5999999999999</c:v>
                </c:pt>
                <c:pt idx="223">
                  <c:v>1285.0999999999999</c:v>
                </c:pt>
                <c:pt idx="224">
                  <c:v>0</c:v>
                </c:pt>
                <c:pt idx="225">
                  <c:v>0</c:v>
                </c:pt>
                <c:pt idx="226">
                  <c:v>1288.5</c:v>
                </c:pt>
                <c:pt idx="227">
                  <c:v>1296.3</c:v>
                </c:pt>
                <c:pt idx="228">
                  <c:v>1292</c:v>
                </c:pt>
                <c:pt idx="229">
                  <c:v>1291.5999999999999</c:v>
                </c:pt>
                <c:pt idx="230">
                  <c:v>1290.0999999999999</c:v>
                </c:pt>
                <c:pt idx="231">
                  <c:v>0</c:v>
                </c:pt>
                <c:pt idx="232">
                  <c:v>0</c:v>
                </c:pt>
                <c:pt idx="233">
                  <c:v>1298.5</c:v>
                </c:pt>
                <c:pt idx="234">
                  <c:v>1305.5</c:v>
                </c:pt>
                <c:pt idx="235">
                  <c:v>1310.2</c:v>
                </c:pt>
                <c:pt idx="236">
                  <c:v>1314</c:v>
                </c:pt>
                <c:pt idx="237">
                  <c:v>1315.2</c:v>
                </c:pt>
                <c:pt idx="238">
                  <c:v>0</c:v>
                </c:pt>
                <c:pt idx="239">
                  <c:v>0</c:v>
                </c:pt>
                <c:pt idx="240">
                  <c:v>1307.8</c:v>
                </c:pt>
                <c:pt idx="241">
                  <c:v>1328.1</c:v>
                </c:pt>
                <c:pt idx="242">
                  <c:v>1350.9</c:v>
                </c:pt>
                <c:pt idx="243">
                  <c:v>1367.6</c:v>
                </c:pt>
                <c:pt idx="244">
                  <c:v>1384.6</c:v>
                </c:pt>
                <c:pt idx="245">
                  <c:v>0</c:v>
                </c:pt>
                <c:pt idx="246">
                  <c:v>0</c:v>
                </c:pt>
                <c:pt idx="247">
                  <c:v>1370.1</c:v>
                </c:pt>
                <c:pt idx="248">
                  <c:v>1359.2</c:v>
                </c:pt>
                <c:pt idx="249">
                  <c:v>1353.9</c:v>
                </c:pt>
                <c:pt idx="250">
                  <c:v>1367.7</c:v>
                </c:pt>
                <c:pt idx="251">
                  <c:v>1381.4</c:v>
                </c:pt>
                <c:pt idx="252">
                  <c:v>0</c:v>
                </c:pt>
                <c:pt idx="253">
                  <c:v>0</c:v>
                </c:pt>
                <c:pt idx="254">
                  <c:v>1379.7</c:v>
                </c:pt>
                <c:pt idx="255">
                  <c:v>1386.5</c:v>
                </c:pt>
                <c:pt idx="256">
                  <c:v>1390.3</c:v>
                </c:pt>
                <c:pt idx="257">
                  <c:v>1414.7</c:v>
                </c:pt>
                <c:pt idx="258">
                  <c:v>1432.3</c:v>
                </c:pt>
                <c:pt idx="259">
                  <c:v>0</c:v>
                </c:pt>
                <c:pt idx="260">
                  <c:v>0</c:v>
                </c:pt>
                <c:pt idx="261">
                  <c:v>1443.9</c:v>
                </c:pt>
                <c:pt idx="262">
                  <c:v>1435.6</c:v>
                </c:pt>
                <c:pt idx="263">
                  <c:v>1432.5</c:v>
                </c:pt>
                <c:pt idx="264">
                  <c:v>1441.8</c:v>
                </c:pt>
                <c:pt idx="265">
                  <c:v>1421.4</c:v>
                </c:pt>
                <c:pt idx="266">
                  <c:v>0</c:v>
                </c:pt>
                <c:pt idx="267">
                  <c:v>0</c:v>
                </c:pt>
                <c:pt idx="268">
                  <c:v>1437.1</c:v>
                </c:pt>
                <c:pt idx="269">
                  <c:v>1451.6</c:v>
                </c:pt>
                <c:pt idx="270">
                  <c:v>0</c:v>
                </c:pt>
                <c:pt idx="271">
                  <c:v>1450.5</c:v>
                </c:pt>
                <c:pt idx="272">
                  <c:v>1453.7</c:v>
                </c:pt>
                <c:pt idx="273">
                  <c:v>0</c:v>
                </c:pt>
                <c:pt idx="274">
                  <c:v>0</c:v>
                </c:pt>
                <c:pt idx="275">
                  <c:v>1468.2</c:v>
                </c:pt>
                <c:pt idx="276">
                  <c:v>1478.3</c:v>
                </c:pt>
                <c:pt idx="277">
                  <c:v>1471.3</c:v>
                </c:pt>
                <c:pt idx="278">
                  <c:v>1406.6</c:v>
                </c:pt>
                <c:pt idx="279">
                  <c:v>1397.5</c:v>
                </c:pt>
                <c:pt idx="280">
                  <c:v>0</c:v>
                </c:pt>
                <c:pt idx="281">
                  <c:v>0</c:v>
                </c:pt>
                <c:pt idx="282">
                  <c:v>1421.1</c:v>
                </c:pt>
                <c:pt idx="283">
                  <c:v>1419.4</c:v>
                </c:pt>
                <c:pt idx="284">
                  <c:v>1411.3</c:v>
                </c:pt>
                <c:pt idx="285">
                  <c:v>1360.4</c:v>
                </c:pt>
                <c:pt idx="286">
                  <c:v>1327.3</c:v>
                </c:pt>
                <c:pt idx="287">
                  <c:v>0</c:v>
                </c:pt>
                <c:pt idx="288">
                  <c:v>0</c:v>
                </c:pt>
                <c:pt idx="289">
                  <c:v>1353</c:v>
                </c:pt>
                <c:pt idx="290">
                  <c:v>1356.9</c:v>
                </c:pt>
                <c:pt idx="291">
                  <c:v>1308.8</c:v>
                </c:pt>
                <c:pt idx="292">
                  <c:v>1310</c:v>
                </c:pt>
                <c:pt idx="293">
                  <c:v>1311.8</c:v>
                </c:pt>
                <c:pt idx="294">
                  <c:v>0</c:v>
                </c:pt>
                <c:pt idx="295">
                  <c:v>0</c:v>
                </c:pt>
                <c:pt idx="296">
                  <c:v>1331.5</c:v>
                </c:pt>
                <c:pt idx="297">
                  <c:v>1349.9</c:v>
                </c:pt>
                <c:pt idx="298">
                  <c:v>1348.2</c:v>
                </c:pt>
                <c:pt idx="299">
                  <c:v>1355.6</c:v>
                </c:pt>
                <c:pt idx="300">
                  <c:v>0</c:v>
                </c:pt>
                <c:pt idx="301">
                  <c:v>0</c:v>
                </c:pt>
                <c:pt idx="302">
                  <c:v>0</c:v>
                </c:pt>
                <c:pt idx="303">
                  <c:v>1381.3</c:v>
                </c:pt>
                <c:pt idx="304">
                  <c:v>1392.7</c:v>
                </c:pt>
                <c:pt idx="305">
                  <c:v>1393.5</c:v>
                </c:pt>
                <c:pt idx="306">
                  <c:v>1403.6</c:v>
                </c:pt>
                <c:pt idx="307">
                  <c:v>1411.4</c:v>
                </c:pt>
                <c:pt idx="308">
                  <c:v>0</c:v>
                </c:pt>
                <c:pt idx="309">
                  <c:v>0</c:v>
                </c:pt>
                <c:pt idx="310">
                  <c:v>1431.9</c:v>
                </c:pt>
                <c:pt idx="311">
                  <c:v>1421.6</c:v>
                </c:pt>
                <c:pt idx="312">
                  <c:v>1416.1</c:v>
                </c:pt>
                <c:pt idx="313">
                  <c:v>1410.5</c:v>
                </c:pt>
                <c:pt idx="314">
                  <c:v>1397</c:v>
                </c:pt>
                <c:pt idx="315">
                  <c:v>0</c:v>
                </c:pt>
                <c:pt idx="316">
                  <c:v>0</c:v>
                </c:pt>
                <c:pt idx="317">
                  <c:v>1378.7</c:v>
                </c:pt>
                <c:pt idx="318">
                  <c:v>1364</c:v>
                </c:pt>
                <c:pt idx="319">
                  <c:v>1379.7</c:v>
                </c:pt>
                <c:pt idx="320">
                  <c:v>0</c:v>
                </c:pt>
                <c:pt idx="321">
                  <c:v>1392.5</c:v>
                </c:pt>
                <c:pt idx="322">
                  <c:v>0</c:v>
                </c:pt>
                <c:pt idx="323">
                  <c:v>0</c:v>
                </c:pt>
                <c:pt idx="324">
                  <c:v>1395.2</c:v>
                </c:pt>
                <c:pt idx="325">
                  <c:v>1378.5</c:v>
                </c:pt>
                <c:pt idx="326">
                  <c:v>1396</c:v>
                </c:pt>
                <c:pt idx="327">
                  <c:v>1393.9</c:v>
                </c:pt>
                <c:pt idx="328">
                  <c:v>1402.7</c:v>
                </c:pt>
                <c:pt idx="329">
                  <c:v>0</c:v>
                </c:pt>
                <c:pt idx="330">
                  <c:v>0</c:v>
                </c:pt>
                <c:pt idx="331">
                  <c:v>1407.2</c:v>
                </c:pt>
                <c:pt idx="332">
                  <c:v>1403.2</c:v>
                </c:pt>
                <c:pt idx="333">
                  <c:v>1403.1</c:v>
                </c:pt>
                <c:pt idx="334">
                  <c:v>1409.4</c:v>
                </c:pt>
                <c:pt idx="335">
                  <c:v>1422.1</c:v>
                </c:pt>
                <c:pt idx="336">
                  <c:v>0</c:v>
                </c:pt>
                <c:pt idx="337">
                  <c:v>0</c:v>
                </c:pt>
                <c:pt idx="338">
                  <c:v>1423.1</c:v>
                </c:pt>
                <c:pt idx="339">
                  <c:v>1417.3</c:v>
                </c:pt>
                <c:pt idx="340">
                  <c:v>1436.4</c:v>
                </c:pt>
                <c:pt idx="341">
                  <c:v>1437.2</c:v>
                </c:pt>
                <c:pt idx="342">
                  <c:v>1425.1</c:v>
                </c:pt>
                <c:pt idx="343">
                  <c:v>0</c:v>
                </c:pt>
                <c:pt idx="344">
                  <c:v>0</c:v>
                </c:pt>
                <c:pt idx="345">
                  <c:v>1432.6</c:v>
                </c:pt>
                <c:pt idx="346">
                  <c:v>1440</c:v>
                </c:pt>
                <c:pt idx="347">
                  <c:v>1444.6</c:v>
                </c:pt>
                <c:pt idx="348">
                  <c:v>1443.3</c:v>
                </c:pt>
                <c:pt idx="349">
                  <c:v>1441.2</c:v>
                </c:pt>
                <c:pt idx="350">
                  <c:v>0</c:v>
                </c:pt>
                <c:pt idx="351">
                  <c:v>0</c:v>
                </c:pt>
                <c:pt idx="352">
                  <c:v>1448.5</c:v>
                </c:pt>
                <c:pt idx="353">
                  <c:v>1453.8</c:v>
                </c:pt>
                <c:pt idx="354">
                  <c:v>1454.5</c:v>
                </c:pt>
                <c:pt idx="355">
                  <c:v>1457</c:v>
                </c:pt>
                <c:pt idx="356">
                  <c:v>1458.7</c:v>
                </c:pt>
                <c:pt idx="357">
                  <c:v>0</c:v>
                </c:pt>
                <c:pt idx="358">
                  <c:v>0</c:v>
                </c:pt>
                <c:pt idx="359">
                  <c:v>0</c:v>
                </c:pt>
                <c:pt idx="360">
                  <c:v>1468.1</c:v>
                </c:pt>
                <c:pt idx="361">
                  <c:v>1463.1</c:v>
                </c:pt>
                <c:pt idx="362">
                  <c:v>1475.7</c:v>
                </c:pt>
                <c:pt idx="363">
                  <c:v>1473</c:v>
                </c:pt>
                <c:pt idx="364">
                  <c:v>0</c:v>
                </c:pt>
              </c:numCache>
            </c:numRef>
          </c:yVal>
          <c:smooth val="0"/>
        </c:ser>
        <c:dLbls>
          <c:showLegendKey val="0"/>
          <c:showVal val="0"/>
          <c:showCatName val="0"/>
          <c:showSerName val="0"/>
          <c:showPercent val="0"/>
          <c:showBubbleSize val="0"/>
        </c:dLbls>
        <c:axId val="155261184"/>
        <c:axId val="155287936"/>
      </c:scatterChart>
      <c:valAx>
        <c:axId val="155261184"/>
        <c:scaling>
          <c:orientation val="minMax"/>
        </c:scaling>
        <c:delete val="0"/>
        <c:axPos val="b"/>
        <c:numFmt formatCode="m/d/yy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287936"/>
        <c:crosses val="autoZero"/>
        <c:crossBetween val="midCat"/>
      </c:valAx>
      <c:valAx>
        <c:axId val="155287936"/>
        <c:scaling>
          <c:orientation val="minMax"/>
          <c:min val="1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2611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88770303603967E-2"/>
          <c:y val="6.3414634146341464E-2"/>
          <c:w val="0.74595587131477437"/>
          <c:h val="0.87560975609756098"/>
        </c:manualLayout>
      </c:layout>
      <c:scatterChart>
        <c:scatterStyle val="lineMarker"/>
        <c:varyColors val="0"/>
        <c:ser>
          <c:idx val="0"/>
          <c:order val="0"/>
          <c:tx>
            <c:strRef>
              <c:f>'Vývoj v čase'!$B$2</c:f>
              <c:strCache>
                <c:ptCount val="1"/>
                <c:pt idx="0">
                  <c:v>Velikost A</c:v>
                </c:pt>
              </c:strCache>
            </c:strRef>
          </c:tx>
          <c:spPr>
            <a:ln w="28575">
              <a:noFill/>
            </a:ln>
          </c:spPr>
          <c:marker>
            <c:symbol val="diamond"/>
            <c:size val="5"/>
            <c:spPr>
              <a:solidFill>
                <a:srgbClr val="000080"/>
              </a:solidFill>
              <a:ln>
                <a:solidFill>
                  <a:srgbClr val="000080"/>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čase'!$B$3:$B$43</c:f>
              <c:numCache>
                <c:formatCode>General</c:formatCode>
                <c:ptCount val="41"/>
                <c:pt idx="0">
                  <c:v>2.7592154780550433</c:v>
                </c:pt>
                <c:pt idx="1">
                  <c:v>2.5707012840466934</c:v>
                </c:pt>
                <c:pt idx="2">
                  <c:v>2.3764848314568852</c:v>
                </c:pt>
                <c:pt idx="3">
                  <c:v>2.1785066668805264</c:v>
                </c:pt>
                <c:pt idx="4">
                  <c:v>1.9787449226951284</c:v>
                </c:pt>
                <c:pt idx="5">
                  <c:v>1.7791955522161944</c:v>
                </c:pt>
                <c:pt idx="6">
                  <c:v>1.5818523867912695</c:v>
                </c:pt>
                <c:pt idx="7">
                  <c:v>1.3886872140962747</c:v>
                </c:pt>
                <c:pt idx="8">
                  <c:v>1.2016300766849164</c:v>
                </c:pt>
                <c:pt idx="9">
                  <c:v>1.0225499876412871</c:v>
                </c:pt>
                <c:pt idx="10">
                  <c:v>0.8532362560191542</c:v>
                </c:pt>
                <c:pt idx="11">
                  <c:v>0.69538060865718143</c:v>
                </c:pt>
                <c:pt idx="12">
                  <c:v>0.55056028700365056</c:v>
                </c:pt>
                <c:pt idx="13">
                  <c:v>0.42022228784133042</c:v>
                </c:pt>
                <c:pt idx="14">
                  <c:v>0.30566890537379998</c:v>
                </c:pt>
                <c:pt idx="15">
                  <c:v>0.20804471913239331</c:v>
                </c:pt>
                <c:pt idx="16">
                  <c:v>0.12832515771575181</c:v>
                </c:pt>
                <c:pt idx="17">
                  <c:v>6.730675262975927E-2</c:v>
                </c:pt>
                <c:pt idx="18">
                  <c:v>2.5599179608049472E-2</c:v>
                </c:pt>
                <c:pt idx="19">
                  <c:v>3.6191669335527976E-3</c:v>
                </c:pt>
                <c:pt idx="20">
                  <c:v>1.5863316272926031E-3</c:v>
                </c:pt>
                <c:pt idx="21">
                  <c:v>1.9520985107678746E-2</c:v>
                </c:pt>
                <c:pt idx="22">
                  <c:v>5.7243930245550301E-2</c:v>
                </c:pt>
                <c:pt idx="23">
                  <c:v>0.1143782518426264</c:v>
                </c:pt>
                <c:pt idx="24">
                  <c:v>0.1903530826436215</c:v>
                </c:pt>
                <c:pt idx="25">
                  <c:v>0.28440930725308999</c:v>
                </c:pt>
                <c:pt idx="26">
                  <c:v>0.3956071469655984</c:v>
                </c:pt>
                <c:pt idx="27">
                  <c:v>0.52283554972387725</c:v>
                </c:pt>
                <c:pt idx="28">
                  <c:v>0.66482329138364848</c:v>
                </c:pt>
                <c:pt idx="29">
                  <c:v>0.82015167736519468</c:v>
                </c:pt>
                <c:pt idx="30">
                  <c:v>0.98726871778048242</c:v>
                </c:pt>
                <c:pt idx="31">
                  <c:v>1.1645046344032526</c:v>
                </c:pt>
                <c:pt idx="32">
                  <c:v>1.350088544541042</c:v>
                </c:pt>
                <c:pt idx="33">
                  <c:v>1.5421661551095864</c:v>
                </c:pt>
                <c:pt idx="34">
                  <c:v>1.7388182901165556</c:v>
                </c:pt>
                <c:pt idx="35">
                  <c:v>1.9380800664334572</c:v>
                </c:pt>
                <c:pt idx="36">
                  <c:v>2.137960526258547</c:v>
                </c:pt>
                <c:pt idx="37">
                  <c:v>2.3364625301089763</c:v>
                </c:pt>
                <c:pt idx="38">
                  <c:v>2.5316027115782544</c:v>
                </c:pt>
                <c:pt idx="39">
                  <c:v>2.7214312944779628</c:v>
                </c:pt>
                <c:pt idx="40">
                  <c:v>2.9040515743567012</c:v>
                </c:pt>
              </c:numCache>
            </c:numRef>
          </c:yVal>
          <c:smooth val="0"/>
        </c:ser>
        <c:ser>
          <c:idx val="1"/>
          <c:order val="1"/>
          <c:tx>
            <c:strRef>
              <c:f>'Vývoj v čase'!$C$2</c:f>
              <c:strCache>
                <c:ptCount val="1"/>
                <c:pt idx="0">
                  <c:v>Poloha x A</c:v>
                </c:pt>
              </c:strCache>
            </c:strRef>
          </c:tx>
          <c:spPr>
            <a:ln w="28575">
              <a:noFill/>
            </a:ln>
          </c:spPr>
          <c:marker>
            <c:symbol val="square"/>
            <c:size val="5"/>
            <c:spPr>
              <a:solidFill>
                <a:srgbClr val="FF00FF"/>
              </a:solidFill>
              <a:ln>
                <a:solidFill>
                  <a:srgbClr val="FF00FF"/>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čase'!$C$3:$C$43</c:f>
              <c:numCache>
                <c:formatCode>General</c:formatCode>
                <c:ptCount val="41"/>
                <c:pt idx="0">
                  <c:v>-0.90929742682568171</c:v>
                </c:pt>
                <c:pt idx="1">
                  <c:v>-0.9350000907009578</c:v>
                </c:pt>
                <c:pt idx="2">
                  <c:v>-0.95654873748436664</c:v>
                </c:pt>
                <c:pt idx="3">
                  <c:v>-0.97384763087819515</c:v>
                </c:pt>
                <c:pt idx="4">
                  <c:v>-0.98681991538313074</c:v>
                </c:pt>
                <c:pt idx="5">
                  <c:v>-0.99540795775176494</c:v>
                </c:pt>
                <c:pt idx="6">
                  <c:v>-0.99957360304150511</c:v>
                </c:pt>
                <c:pt idx="7">
                  <c:v>-0.9992983441292993</c:v>
                </c:pt>
                <c:pt idx="8">
                  <c:v>-0.9945834039350564</c:v>
                </c:pt>
                <c:pt idx="9">
                  <c:v>-0.98544972998846014</c:v>
                </c:pt>
                <c:pt idx="10">
                  <c:v>-0.97193790136331271</c:v>
                </c:pt>
                <c:pt idx="11">
                  <c:v>-0.95410794839288315</c:v>
                </c:pt>
                <c:pt idx="12">
                  <c:v>-0.93203908596722629</c:v>
                </c:pt>
                <c:pt idx="13">
                  <c:v>-0.90582936159738114</c:v>
                </c:pt>
                <c:pt idx="14">
                  <c:v>-0.87559521981002553</c:v>
                </c:pt>
                <c:pt idx="15">
                  <c:v>-0.8414709848078965</c:v>
                </c:pt>
                <c:pt idx="16">
                  <c:v>-0.80360826369441118</c:v>
                </c:pt>
                <c:pt idx="17">
                  <c:v>-0.76217527291383969</c:v>
                </c:pt>
                <c:pt idx="18">
                  <c:v>-0.71735609089952279</c:v>
                </c:pt>
                <c:pt idx="19">
                  <c:v>-0.66934984025046618</c:v>
                </c:pt>
                <c:pt idx="20">
                  <c:v>-0.61836980306973699</c:v>
                </c:pt>
                <c:pt idx="21">
                  <c:v>-0.56464247339503537</c:v>
                </c:pt>
                <c:pt idx="22">
                  <c:v>-0.50840655093130116</c:v>
                </c:pt>
                <c:pt idx="23">
                  <c:v>-0.44991188055599968</c:v>
                </c:pt>
                <c:pt idx="24">
                  <c:v>-0.38941834230865052</c:v>
                </c:pt>
                <c:pt idx="25">
                  <c:v>-0.32719469679615221</c:v>
                </c:pt>
                <c:pt idx="26">
                  <c:v>-0.26351739114353506</c:v>
                </c:pt>
                <c:pt idx="27">
                  <c:v>-0.19866933079506122</c:v>
                </c:pt>
                <c:pt idx="28">
                  <c:v>-0.13293862262231407</c:v>
                </c:pt>
                <c:pt idx="29">
                  <c:v>-6.6617294923392995E-2</c:v>
                </c:pt>
                <c:pt idx="30">
                  <c:v>0</c:v>
                </c:pt>
                <c:pt idx="31">
                  <c:v>6.6617294923392995E-2</c:v>
                </c:pt>
                <c:pt idx="32">
                  <c:v>0.13293862262231407</c:v>
                </c:pt>
                <c:pt idx="33">
                  <c:v>0.19866933079506122</c:v>
                </c:pt>
                <c:pt idx="34">
                  <c:v>0.26351739114353506</c:v>
                </c:pt>
                <c:pt idx="35">
                  <c:v>0.32719469679615221</c:v>
                </c:pt>
                <c:pt idx="36">
                  <c:v>0.38941834230865052</c:v>
                </c:pt>
                <c:pt idx="37">
                  <c:v>0.44991188055599968</c:v>
                </c:pt>
                <c:pt idx="38">
                  <c:v>0.50840655093130116</c:v>
                </c:pt>
                <c:pt idx="39">
                  <c:v>0.56464247339503537</c:v>
                </c:pt>
                <c:pt idx="40">
                  <c:v>0.61836980306973699</c:v>
                </c:pt>
              </c:numCache>
            </c:numRef>
          </c:yVal>
          <c:smooth val="0"/>
        </c:ser>
        <c:ser>
          <c:idx val="2"/>
          <c:order val="2"/>
          <c:tx>
            <c:strRef>
              <c:f>'Vývoj v čase'!$D$2</c:f>
              <c:strCache>
                <c:ptCount val="1"/>
                <c:pt idx="0">
                  <c:v>Poloha y A</c:v>
                </c:pt>
              </c:strCache>
            </c:strRef>
          </c:tx>
          <c:spPr>
            <a:ln w="28575">
              <a:noFill/>
            </a:ln>
          </c:spPr>
          <c:marker>
            <c:symbol val="triangle"/>
            <c:size val="5"/>
            <c:spPr>
              <a:solidFill>
                <a:srgbClr val="FFFF00"/>
              </a:solidFill>
              <a:ln>
                <a:solidFill>
                  <a:srgbClr val="FFFF00"/>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čase'!$D$3:$D$43</c:f>
              <c:numCache>
                <c:formatCode>General</c:formatCode>
                <c:ptCount val="41"/>
                <c:pt idx="0">
                  <c:v>-0.94398911272511932</c:v>
                </c:pt>
                <c:pt idx="1">
                  <c:v>-0.92631741591038863</c:v>
                </c:pt>
                <c:pt idx="2">
                  <c:v>-0.90633040797266373</c:v>
                </c:pt>
                <c:pt idx="3">
                  <c:v>-0.88407804602276208</c:v>
                </c:pt>
                <c:pt idx="4">
                  <c:v>-0.85961594937674612</c:v>
                </c:pt>
                <c:pt idx="5">
                  <c:v>-0.83300526053662405</c:v>
                </c:pt>
                <c:pt idx="6">
                  <c:v>-0.80431249236591407</c:v>
                </c:pt>
                <c:pt idx="7">
                  <c:v>-0.77360936184213358</c:v>
                </c:pt>
                <c:pt idx="8">
                  <c:v>-0.74097261080171961</c:v>
                </c:pt>
                <c:pt idx="9">
                  <c:v>-0.70648381412537253</c:v>
                </c:pt>
                <c:pt idx="10">
                  <c:v>-0.67022917584337471</c:v>
                </c:pt>
                <c:pt idx="11">
                  <c:v>-0.63229931367037595</c:v>
                </c:pt>
                <c:pt idx="12">
                  <c:v>-0.59278903250831261</c:v>
                </c:pt>
                <c:pt idx="13">
                  <c:v>-0.55179708748354439</c:v>
                </c:pt>
                <c:pt idx="14">
                  <c:v>-0.50942593711042927</c:v>
                </c:pt>
                <c:pt idx="15">
                  <c:v>-0.46578148719844353</c:v>
                </c:pt>
                <c:pt idx="16">
                  <c:v>-0.42097282614277115</c:v>
                </c:pt>
                <c:pt idx="17">
                  <c:v>-0.37511195226014504</c:v>
                </c:pt>
                <c:pt idx="18">
                  <c:v>-0.3283134938514034</c:v>
                </c:pt>
                <c:pt idx="19">
                  <c:v>-0.28069442269038886</c:v>
                </c:pt>
                <c:pt idx="20">
                  <c:v>-0.23237376165548454</c:v>
                </c:pt>
                <c:pt idx="21">
                  <c:v>-0.18347228723435724</c:v>
                </c:pt>
                <c:pt idx="22">
                  <c:v>-0.13411222764565714</c:v>
                </c:pt>
                <c:pt idx="23">
                  <c:v>-8.4416957332147907E-2</c:v>
                </c:pt>
                <c:pt idx="24">
                  <c:v>-3.4510688588802733E-2</c:v>
                </c:pt>
                <c:pt idx="25">
                  <c:v>1.5481838903188175E-2</c:v>
                </c:pt>
                <c:pt idx="26">
                  <c:v>6.5435669860706952E-2</c:v>
                </c:pt>
                <c:pt idx="27">
                  <c:v>0.11522594572181913</c:v>
                </c:pt>
                <c:pt idx="28">
                  <c:v>0.1647282167271322</c:v>
                </c:pt>
                <c:pt idx="29">
                  <c:v>0.21381875297943129</c:v>
                </c:pt>
                <c:pt idx="30">
                  <c:v>0.26237485370392877</c:v>
                </c:pt>
                <c:pt idx="31">
                  <c:v>0.31027515393634886</c:v>
                </c:pt>
                <c:pt idx="32">
                  <c:v>0.35739992787211133</c:v>
                </c:pt>
                <c:pt idx="33">
                  <c:v>0.4036313881184711</c:v>
                </c:pt>
                <c:pt idx="34">
                  <c:v>0.44885398010170457</c:v>
                </c:pt>
                <c:pt idx="35">
                  <c:v>0.49295467089331141</c:v>
                </c:pt>
                <c:pt idx="36">
                  <c:v>0.53582323173351487</c:v>
                </c:pt>
                <c:pt idx="37">
                  <c:v>0.57735251354573514</c:v>
                </c:pt>
                <c:pt idx="38">
                  <c:v>0.61743871475346179</c:v>
                </c:pt>
                <c:pt idx="39">
                  <c:v>0.65598164073017695</c:v>
                </c:pt>
                <c:pt idx="40">
                  <c:v>0.69288495423369567</c:v>
                </c:pt>
              </c:numCache>
            </c:numRef>
          </c:yVal>
          <c:smooth val="0"/>
        </c:ser>
        <c:ser>
          <c:idx val="3"/>
          <c:order val="3"/>
          <c:tx>
            <c:strRef>
              <c:f>'Vývoj v čase'!$E$2</c:f>
              <c:strCache>
                <c:ptCount val="1"/>
                <c:pt idx="0">
                  <c:v>Velikost B</c:v>
                </c:pt>
              </c:strCache>
            </c:strRef>
          </c:tx>
          <c:spPr>
            <a:ln w="28575">
              <a:noFill/>
            </a:ln>
          </c:spPr>
          <c:marker>
            <c:symbol val="x"/>
            <c:size val="5"/>
            <c:spPr>
              <a:noFill/>
              <a:ln>
                <a:solidFill>
                  <a:srgbClr val="00FFFF"/>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čase'!$E$3:$E$43</c:f>
              <c:numCache>
                <c:formatCode>General</c:formatCode>
                <c:ptCount val="41"/>
                <c:pt idx="0">
                  <c:v>5.0107546418916549</c:v>
                </c:pt>
                <c:pt idx="1">
                  <c:v>4.5283556295969616</c:v>
                </c:pt>
                <c:pt idx="2">
                  <c:v>3.9850259013553337</c:v>
                </c:pt>
                <c:pt idx="3">
                  <c:v>3.4024262988554863</c:v>
                </c:pt>
                <c:pt idx="4">
                  <c:v>2.803783229750056</c:v>
                </c:pt>
                <c:pt idx="5">
                  <c:v>2.2129627040766646</c:v>
                </c:pt>
                <c:pt idx="6">
                  <c:v>1.6535188717519254</c:v>
                </c:pt>
                <c:pt idx="7">
                  <c:v>1.1477549929435202</c:v>
                </c:pt>
                <c:pt idx="8">
                  <c:v>0.71583427746921391</c:v>
                </c:pt>
                <c:pt idx="9">
                  <c:v>0.37497604125057471</c:v>
                </c:pt>
                <c:pt idx="10">
                  <c:v>0.13876922652513901</c:v>
                </c:pt>
                <c:pt idx="11">
                  <c:v>1.6630653602299983E-2</c:v>
                </c:pt>
                <c:pt idx="12">
                  <c:v>1.3429601953936832E-2</c:v>
                </c:pt>
                <c:pt idx="13">
                  <c:v>0.12929368740781566</c:v>
                </c:pt>
                <c:pt idx="14">
                  <c:v>0.35960377450709036</c:v>
                </c:pt>
                <c:pt idx="15">
                  <c:v>0.6951781268646382</c:v>
                </c:pt>
                <c:pt idx="16">
                  <c:v>1.1226384540180705</c:v>
                </c:pt>
                <c:pt idx="17">
                  <c:v>1.6249432616528481</c:v>
                </c:pt>
                <c:pt idx="18">
                  <c:v>2.1820672422032219</c:v>
                </c:pt>
                <c:pt idx="19">
                  <c:v>2.7717996206707221</c:v>
                </c:pt>
                <c:pt idx="20">
                  <c:v>3.3706296281341395</c:v>
                </c:pt>
                <c:pt idx="21">
                  <c:v>3.9546838019132755</c:v>
                </c:pt>
                <c:pt idx="22">
                  <c:v>4.5006777451890843</c:v>
                </c:pt>
                <c:pt idx="23">
                  <c:v>4.9868444024268133</c:v>
                </c:pt>
                <c:pt idx="24">
                  <c:v>5.3938018431897232</c:v>
                </c:pt>
                <c:pt idx="25">
                  <c:v>5.7053259585432148</c:v>
                </c:pt>
                <c:pt idx="26">
                  <c:v>5.9089972650793392</c:v>
                </c:pt>
                <c:pt idx="27">
                  <c:v>5.9966960305284776</c:v>
                </c:pt>
                <c:pt idx="28">
                  <c:v>5.9649259818616045</c:v>
                </c:pt>
                <c:pt idx="29">
                  <c:v>5.8149536906628985</c:v>
                </c:pt>
                <c:pt idx="30">
                  <c:v>5.5527580789175293</c:v>
                </c:pt>
                <c:pt idx="31">
                  <c:v>5.1887920582596827</c:v>
                </c:pt>
                <c:pt idx="32">
                  <c:v>4.7375658053717906</c:v>
                </c:pt>
                <c:pt idx="33">
                  <c:v>4.2170682870295533</c:v>
                </c:pt>
                <c:pt idx="34">
                  <c:v>3.6480500967646656</c:v>
                </c:pt>
                <c:pt idx="35">
                  <c:v>3.0531961941821124</c:v>
                </c:pt>
                <c:pt idx="36">
                  <c:v>2.4562215272078172</c:v>
                </c:pt>
                <c:pt idx="37">
                  <c:v>1.8809255919515422</c:v>
                </c:pt>
                <c:pt idx="38">
                  <c:v>1.3502436219005047</c:v>
                </c:pt>
                <c:pt idx="39">
                  <c:v>0.88533223253714066</c:v>
                </c:pt>
                <c:pt idx="40">
                  <c:v>0.50472597384248008</c:v>
                </c:pt>
              </c:numCache>
            </c:numRef>
          </c:yVal>
          <c:smooth val="0"/>
        </c:ser>
        <c:ser>
          <c:idx val="4"/>
          <c:order val="4"/>
          <c:tx>
            <c:strRef>
              <c:f>'Vývoj v čase'!$F$2</c:f>
              <c:strCache>
                <c:ptCount val="1"/>
                <c:pt idx="0">
                  <c:v>Poloha x B</c:v>
                </c:pt>
              </c:strCache>
            </c:strRef>
          </c:tx>
          <c:spPr>
            <a:ln w="28575">
              <a:noFill/>
            </a:ln>
          </c:spPr>
          <c:marker>
            <c:symbol val="star"/>
            <c:size val="5"/>
            <c:spPr>
              <a:noFill/>
              <a:ln>
                <a:solidFill>
                  <a:srgbClr val="800080"/>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čase'!$F$3:$F$43</c:f>
              <c:numCache>
                <c:formatCode>General</c:formatCode>
                <c:ptCount val="41"/>
                <c:pt idx="0">
                  <c:v>-0.71485535084096952</c:v>
                </c:pt>
                <c:pt idx="1">
                  <c:v>-0.82095634527985362</c:v>
                </c:pt>
                <c:pt idx="2">
                  <c:v>-0.90430573577172779</c:v>
                </c:pt>
                <c:pt idx="3">
                  <c:v>-0.96259361590981363</c:v>
                </c:pt>
                <c:pt idx="4">
                  <c:v>-0.99420462237855556</c:v>
                </c:pt>
                <c:pt idx="5">
                  <c:v>-0.99826270238455617</c:v>
                </c:pt>
                <c:pt idx="6">
                  <c:v>-0.97465539217793373</c:v>
                </c:pt>
                <c:pt idx="7">
                  <c:v>-0.92403693382059304</c:v>
                </c:pt>
                <c:pt idx="8">
                  <c:v>-0.84781014382476327</c:v>
                </c:pt>
                <c:pt idx="9">
                  <c:v>-0.74808753614574053</c:v>
                </c:pt>
                <c:pt idx="10">
                  <c:v>-0.62763277694864616</c:v>
                </c:pt>
                <c:pt idx="11">
                  <c:v>-0.489784093644206</c:v>
                </c:pt>
                <c:pt idx="12">
                  <c:v>-0.33836176080013769</c:v>
                </c:pt>
                <c:pt idx="13">
                  <c:v>-0.17756222682133044</c:v>
                </c:pt>
                <c:pt idx="14">
                  <c:v>-1.1841815522109757E-2</c:v>
                </c:pt>
                <c:pt idx="15">
                  <c:v>0.1542067743682958</c:v>
                </c:pt>
                <c:pt idx="16">
                  <c:v>0.31598174913100091</c:v>
                </c:pt>
                <c:pt idx="17">
                  <c:v>0.46899975203755345</c:v>
                </c:pt>
                <c:pt idx="18">
                  <c:v>0.60902011302209713</c:v>
                </c:pt>
                <c:pt idx="19">
                  <c:v>0.73216237264730011</c:v>
                </c:pt>
                <c:pt idx="20">
                  <c:v>0.83501382336024121</c:v>
                </c:pt>
                <c:pt idx="21">
                  <c:v>0.91472408768909685</c:v>
                </c:pt>
                <c:pt idx="22">
                  <c:v>0.96908411228410185</c:v>
                </c:pt>
                <c:pt idx="23">
                  <c:v>0.99658738859915774</c:v>
                </c:pt>
                <c:pt idx="24">
                  <c:v>0.99647170357196591</c:v>
                </c:pt>
                <c:pt idx="25">
                  <c:v>0.96874026324377926</c:v>
                </c:pt>
                <c:pt idx="26">
                  <c:v>0.91416160390872936</c:v>
                </c:pt>
                <c:pt idx="27">
                  <c:v>0.8342482932548031</c:v>
                </c:pt>
                <c:pt idx="28">
                  <c:v>0.73121501176355796</c:v>
                </c:pt>
                <c:pt idx="29">
                  <c:v>0.607917176080912</c:v>
                </c:pt>
                <c:pt idx="30">
                  <c:v>0.46777180532247614</c:v>
                </c:pt>
                <c:pt idx="31">
                  <c:v>0.31466282338854518</c:v>
                </c:pt>
                <c:pt idx="32">
                  <c:v>0.15283342169576583</c:v>
                </c:pt>
                <c:pt idx="33">
                  <c:v>-1.3231534664836536E-2</c:v>
                </c:pt>
                <c:pt idx="34">
                  <c:v>-0.17892979840160328</c:v>
                </c:pt>
                <c:pt idx="35">
                  <c:v>-0.3396692845724284</c:v>
                </c:pt>
                <c:pt idx="36">
                  <c:v>-0.49099533350029317</c:v>
                </c:pt>
                <c:pt idx="37">
                  <c:v>-0.62871416514815892</c:v>
                </c:pt>
                <c:pt idx="38">
                  <c:v>-0.74900910359684936</c:v>
                </c:pt>
                <c:pt idx="39">
                  <c:v>-0.84854635063397388</c:v>
                </c:pt>
                <c:pt idx="40">
                  <c:v>-0.92456737709337322</c:v>
                </c:pt>
              </c:numCache>
            </c:numRef>
          </c:yVal>
          <c:smooth val="0"/>
        </c:ser>
        <c:ser>
          <c:idx val="5"/>
          <c:order val="5"/>
          <c:tx>
            <c:strRef>
              <c:f>'Vývoj v čase'!$G$2</c:f>
              <c:strCache>
                <c:ptCount val="1"/>
                <c:pt idx="0">
                  <c:v>Poloha y B</c:v>
                </c:pt>
              </c:strCache>
            </c:strRef>
          </c:tx>
          <c:spPr>
            <a:ln w="28575">
              <a:noFill/>
            </a:ln>
          </c:spPr>
          <c:marker>
            <c:symbol val="circle"/>
            <c:size val="5"/>
            <c:spPr>
              <a:solidFill>
                <a:srgbClr val="800000"/>
              </a:solidFill>
              <a:ln>
                <a:solidFill>
                  <a:srgbClr val="800000"/>
                </a:solidFill>
                <a:prstDash val="solid"/>
              </a:ln>
            </c:spPr>
          </c:marker>
          <c:xVal>
            <c:numRef>
              <c:f>'Vývoj v čase'!$A$3:$A$43</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'Vývoj v čase'!$G$3:$G$43</c:f>
              <c:numCache>
                <c:formatCode>General</c:formatCode>
                <c:ptCount val="41"/>
                <c:pt idx="0">
                  <c:v>0.71932497021612618</c:v>
                </c:pt>
                <c:pt idx="1">
                  <c:v>0.61309549391154272</c:v>
                </c:pt>
                <c:pt idx="2">
                  <c:v>0.49437512937130335</c:v>
                </c:pt>
                <c:pt idx="3">
                  <c:v>0.36558262346191567</c:v>
                </c:pt>
                <c:pt idx="4">
                  <c:v>0.22934192761152131</c:v>
                </c:pt>
                <c:pt idx="5">
                  <c:v>8.8428738790735234E-2</c:v>
                </c:pt>
                <c:pt idx="6">
                  <c:v>-5.4286051092241078E-2</c:v>
                </c:pt>
                <c:pt idx="7">
                  <c:v>-0.19589484524761255</c:v>
                </c:pt>
                <c:pt idx="8">
                  <c:v>-0.33351257986609623</c:v>
                </c:pt>
                <c:pt idx="9">
                  <c:v>-0.46433550290683612</c:v>
                </c:pt>
                <c:pt idx="10">
                  <c:v>-0.58569829628057646</c:v>
                </c:pt>
                <c:pt idx="11">
                  <c:v>-0.69512837765226088</c:v>
                </c:pt>
                <c:pt idx="12">
                  <c:v>-0.79039627554523839</c:v>
                </c:pt>
                <c:pt idx="13">
                  <c:v>-0.86956105143233364</c:v>
                </c:pt>
                <c:pt idx="14">
                  <c:v>-0.93100984340606108</c:v>
                </c:pt>
                <c:pt idx="15">
                  <c:v>-0.97349072578691043</c:v>
                </c:pt>
                <c:pt idx="16">
                  <c:v>-0.99613821520531498</c:v>
                </c:pt>
                <c:pt idx="17">
                  <c:v>-0.99849090350878833</c:v>
                </c:pt>
                <c:pt idx="18">
                  <c:v>-0.9805008582513125</c:v>
                </c:pt>
                <c:pt idx="19">
                  <c:v>-0.94253459924409888</c:v>
                </c:pt>
                <c:pt idx="20">
                  <c:v>-0.8853656312717868</c:v>
                </c:pt>
                <c:pt idx="21">
                  <c:v>-0.81015868510884836</c:v>
                </c:pt>
                <c:pt idx="22">
                  <c:v>-0.71844598790173697</c:v>
                </c:pt>
                <c:pt idx="23">
                  <c:v>-0.61209604637077364</c:v>
                </c:pt>
                <c:pt idx="24">
                  <c:v>-0.49327557882774464</c:v>
                </c:pt>
                <c:pt idx="25">
                  <c:v>-0.36440537158548741</c:v>
                </c:pt>
                <c:pt idx="26">
                  <c:v>-0.22811095911894083</c:v>
                </c:pt>
                <c:pt idx="27">
                  <c:v>-8.7169132792761408E-2</c:v>
                </c:pt>
                <c:pt idx="28">
                  <c:v>5.5548632039239307E-2</c:v>
                </c:pt>
                <c:pt idx="29">
                  <c:v>0.19713467797686618</c:v>
                </c:pt>
                <c:pt idx="30">
                  <c:v>0.33470440467151341</c:v>
                </c:pt>
                <c:pt idx="31">
                  <c:v>0.46545503817064482</c:v>
                </c:pt>
                <c:pt idx="32">
                  <c:v>0.58672273317456225</c:v>
                </c:pt>
                <c:pt idx="33">
                  <c:v>0.69603684483258554</c:v>
                </c:pt>
                <c:pt idx="34">
                  <c:v>0.7911702643748767</c:v>
                </c:pt>
                <c:pt idx="35">
                  <c:v>0.87018479306609198</c:v>
                </c:pt>
                <c:pt idx="36">
                  <c:v>0.93147063005668496</c:v>
                </c:pt>
                <c:pt idx="37">
                  <c:v>0.97377916962725697</c:v>
                </c:pt>
                <c:pt idx="38">
                  <c:v>0.99624843963082943</c:v>
                </c:pt>
                <c:pt idx="39">
                  <c:v>0.99842066286443387</c:v>
                </c:pt>
                <c:pt idx="40">
                  <c:v>0.98025158358340192</c:v>
                </c:pt>
              </c:numCache>
            </c:numRef>
          </c:yVal>
          <c:smooth val="0"/>
        </c:ser>
        <c:dLbls>
          <c:showLegendKey val="0"/>
          <c:showVal val="0"/>
          <c:showCatName val="0"/>
          <c:showSerName val="0"/>
          <c:showPercent val="0"/>
          <c:showBubbleSize val="0"/>
        </c:dLbls>
        <c:axId val="155339008"/>
        <c:axId val="155346048"/>
      </c:scatterChart>
      <c:valAx>
        <c:axId val="155339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346048"/>
        <c:crosses val="autoZero"/>
        <c:crossBetween val="midCat"/>
      </c:valAx>
      <c:valAx>
        <c:axId val="155346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5339008"/>
        <c:crosses val="autoZero"/>
        <c:crossBetween val="midCat"/>
      </c:valAx>
      <c:spPr>
        <a:solidFill>
          <a:srgbClr val="C0C0C0"/>
        </a:solidFill>
        <a:ln w="12700">
          <a:solidFill>
            <a:srgbClr val="808080"/>
          </a:solidFill>
          <a:prstDash val="solid"/>
        </a:ln>
      </c:spPr>
    </c:plotArea>
    <c:legend>
      <c:legendPos val="r"/>
      <c:layout>
        <c:manualLayout>
          <c:xMode val="edge"/>
          <c:yMode val="edge"/>
          <c:x val="0.85113404513756163"/>
          <c:y val="0.34634146341463412"/>
          <c:w val="0.13592249997876482"/>
          <c:h val="0.3097560975609756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cs-CZ"/>
              <a:t>Bublinový graf</a:t>
            </a:r>
          </a:p>
        </c:rich>
      </c:tx>
      <c:layout>
        <c:manualLayout>
          <c:xMode val="edge"/>
          <c:yMode val="edge"/>
          <c:x val="0.40453142386327917"/>
          <c:y val="2.8673835125448029E-2"/>
        </c:manualLayout>
      </c:layout>
      <c:overlay val="0"/>
      <c:spPr>
        <a:noFill/>
        <a:ln w="25400">
          <a:noFill/>
        </a:ln>
      </c:spPr>
    </c:title>
    <c:autoTitleDeleted val="0"/>
    <c:plotArea>
      <c:layout>
        <c:manualLayout>
          <c:layoutTarget val="inner"/>
          <c:xMode val="edge"/>
          <c:yMode val="edge"/>
          <c:x val="8.4142527783879109E-2"/>
          <c:y val="0.13799307304455269"/>
          <c:w val="0.81715339482421057"/>
          <c:h val="0.77419490331489293"/>
        </c:manualLayout>
      </c:layout>
      <c:bubbleChart>
        <c:varyColors val="0"/>
        <c:ser>
          <c:idx val="1"/>
          <c:order val="0"/>
          <c:tx>
            <c:strRef>
              <c:f>'Vývoj v čase'!$K$27</c:f>
              <c:strCache>
                <c:ptCount val="1"/>
                <c:pt idx="0">
                  <c:v>A</c:v>
                </c:pt>
              </c:strCache>
            </c:strRef>
          </c:tx>
          <c:spPr>
            <a:solidFill>
              <a:srgbClr val="993366"/>
            </a:solidFill>
            <a:ln w="12700">
              <a:solidFill>
                <a:srgbClr val="000000"/>
              </a:solidFill>
              <a:prstDash val="solid"/>
            </a:ln>
          </c:spPr>
          <c:invertIfNegative val="0"/>
          <c:xVal>
            <c:numRef>
              <c:f>'Vývoj v čase'!$L$29</c:f>
              <c:numCache>
                <c:formatCode>General</c:formatCode>
                <c:ptCount val="1"/>
                <c:pt idx="0">
                  <c:v>-0.90929742682568171</c:v>
                </c:pt>
              </c:numCache>
            </c:numRef>
          </c:xVal>
          <c:yVal>
            <c:numRef>
              <c:f>'Vývoj v čase'!$M$29</c:f>
              <c:numCache>
                <c:formatCode>General</c:formatCode>
                <c:ptCount val="1"/>
                <c:pt idx="0">
                  <c:v>-0.94398911272511932</c:v>
                </c:pt>
              </c:numCache>
            </c:numRef>
          </c:yVal>
          <c:bubbleSize>
            <c:numRef>
              <c:f>'Vývoj v čase'!$K$29</c:f>
              <c:numCache>
                <c:formatCode>General</c:formatCode>
                <c:ptCount val="1"/>
                <c:pt idx="0">
                  <c:v>2.7592154780550433</c:v>
                </c:pt>
              </c:numCache>
            </c:numRef>
          </c:bubbleSize>
          <c:bubble3D val="0"/>
        </c:ser>
        <c:ser>
          <c:idx val="0"/>
          <c:order val="1"/>
          <c:tx>
            <c:strRef>
              <c:f>'Vývoj v čase'!$N$27</c:f>
              <c:strCache>
                <c:ptCount val="1"/>
                <c:pt idx="0">
                  <c:v>B</c:v>
                </c:pt>
              </c:strCache>
            </c:strRef>
          </c:tx>
          <c:spPr>
            <a:solidFill>
              <a:srgbClr val="9999FF"/>
            </a:solidFill>
            <a:ln w="12700">
              <a:solidFill>
                <a:srgbClr val="000000"/>
              </a:solidFill>
              <a:prstDash val="solid"/>
            </a:ln>
          </c:spPr>
          <c:invertIfNegative val="0"/>
          <c:xVal>
            <c:numRef>
              <c:f>'Vývoj v čase'!$O$29</c:f>
              <c:numCache>
                <c:formatCode>General</c:formatCode>
                <c:ptCount val="1"/>
                <c:pt idx="0">
                  <c:v>-0.71485535084096952</c:v>
                </c:pt>
              </c:numCache>
            </c:numRef>
          </c:xVal>
          <c:yVal>
            <c:numRef>
              <c:f>'Vývoj v čase'!$P$29</c:f>
              <c:numCache>
                <c:formatCode>General</c:formatCode>
                <c:ptCount val="1"/>
                <c:pt idx="0">
                  <c:v>0.71932497021612618</c:v>
                </c:pt>
              </c:numCache>
            </c:numRef>
          </c:yVal>
          <c:bubbleSize>
            <c:numRef>
              <c:f>'Vývoj v čase'!$N$29</c:f>
              <c:numCache>
                <c:formatCode>General</c:formatCode>
                <c:ptCount val="1"/>
                <c:pt idx="0">
                  <c:v>5.0107546418916549</c:v>
                </c:pt>
              </c:numCache>
            </c:numRef>
          </c:bubbleSize>
          <c:bubble3D val="0"/>
        </c:ser>
        <c:dLbls>
          <c:showLegendKey val="0"/>
          <c:showVal val="0"/>
          <c:showCatName val="0"/>
          <c:showSerName val="0"/>
          <c:showPercent val="0"/>
          <c:showBubbleSize val="0"/>
        </c:dLbls>
        <c:bubbleScale val="100"/>
        <c:showNegBubbles val="0"/>
        <c:axId val="156805376"/>
        <c:axId val="156807552"/>
      </c:bubbleChart>
      <c:valAx>
        <c:axId val="156805376"/>
        <c:scaling>
          <c:orientation val="minMax"/>
          <c:max val="1.5"/>
          <c:min val="-1.5"/>
        </c:scaling>
        <c:delete val="0"/>
        <c:axPos val="b"/>
        <c:title>
          <c:tx>
            <c:rich>
              <a:bodyPr/>
              <a:lstStyle/>
              <a:p>
                <a:pPr>
                  <a:defRPr sz="1000" b="1" i="0" u="none" strike="noStrike" baseline="0">
                    <a:solidFill>
                      <a:srgbClr val="000000"/>
                    </a:solidFill>
                    <a:latin typeface="Arial"/>
                    <a:ea typeface="Arial"/>
                    <a:cs typeface="Arial"/>
                  </a:defRPr>
                </a:pPr>
                <a:r>
                  <a:rPr lang="cs-CZ"/>
                  <a:t>Poloha x</a:t>
                </a:r>
              </a:p>
            </c:rich>
          </c:tx>
          <c:layout>
            <c:manualLayout>
              <c:xMode val="edge"/>
              <c:yMode val="edge"/>
              <c:x val="0.44336637531958989"/>
              <c:y val="0.931901334913780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6807552"/>
        <c:crossesAt val="0"/>
        <c:crossBetween val="midCat"/>
        <c:majorUnit val="0.5"/>
        <c:minorUnit val="0.1"/>
      </c:valAx>
      <c:valAx>
        <c:axId val="156807552"/>
        <c:scaling>
          <c:orientation val="minMax"/>
          <c:max val="1.5"/>
          <c:min val="-1.5"/>
        </c:scaling>
        <c:delete val="0"/>
        <c:axPos val="l"/>
        <c:title>
          <c:tx>
            <c:rich>
              <a:bodyPr/>
              <a:lstStyle/>
              <a:p>
                <a:pPr>
                  <a:defRPr sz="1000" b="1" i="0" u="none" strike="noStrike" baseline="0">
                    <a:solidFill>
                      <a:srgbClr val="000000"/>
                    </a:solidFill>
                    <a:latin typeface="Arial"/>
                    <a:ea typeface="Arial"/>
                    <a:cs typeface="Arial"/>
                  </a:defRPr>
                </a:pPr>
                <a:r>
                  <a:rPr lang="cs-CZ"/>
                  <a:t>Poloha y</a:t>
                </a:r>
              </a:p>
            </c:rich>
          </c:tx>
          <c:layout>
            <c:manualLayout>
              <c:xMode val="edge"/>
              <c:yMode val="edge"/>
              <c:x val="2.5889967637540454E-2"/>
              <c:y val="0.47132691746864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156805376"/>
        <c:crossesAt val="0"/>
        <c:crossBetween val="midCat"/>
        <c:majorUnit val="0.5"/>
        <c:minorUnit val="0.1"/>
      </c:valAx>
      <c:spPr>
        <a:solidFill>
          <a:srgbClr val="C0C0C0"/>
        </a:solidFill>
        <a:ln w="12700">
          <a:solidFill>
            <a:srgbClr val="808080"/>
          </a:solidFill>
          <a:prstDash val="solid"/>
        </a:ln>
      </c:spPr>
    </c:plotArea>
    <c:legend>
      <c:legendPos val="r"/>
      <c:layout>
        <c:manualLayout>
          <c:xMode val="edge"/>
          <c:yMode val="edge"/>
          <c:x val="0.94013097877328444"/>
          <c:y val="0.48745613787523873"/>
          <c:w val="4.6925566343042124E-2"/>
          <c:h val="7.70611200481660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trlProps/ctrlProp1.xml><?xml version="1.0" encoding="utf-8"?>
<formControlPr xmlns="http://schemas.microsoft.com/office/spreadsheetml/2009/9/main" objectType="Scroll" dx="16" fmlaLink="$O$2" max="100" min="1" page="10"/>
</file>

<file path=xl/ctrlProps/ctrlProp2.xml><?xml version="1.0" encoding="utf-8"?>
<formControlPr xmlns="http://schemas.microsoft.com/office/spreadsheetml/2009/9/main" objectType="Scroll" dx="16" fmlaLink="$U$2" max="365" min="1" page="10" val="365"/>
</file>

<file path=xl/ctrlProps/ctrlProp3.xml><?xml version="1.0" encoding="utf-8"?>
<formControlPr xmlns="http://schemas.microsoft.com/office/spreadsheetml/2009/9/main" objectType="Scroll" dx="16" fmlaLink="$W$2" max="365" min="1" page="10"/>
</file>

<file path=xl/ctrlProps/ctrlProp4.xml><?xml version="1.0" encoding="utf-8"?>
<formControlPr xmlns="http://schemas.microsoft.com/office/spreadsheetml/2009/9/main" objectType="Scroll" dx="16" fmlaLink="$J$29" max="2010" min="1970" page="10" val="197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104775</xdr:rowOff>
    </xdr:from>
    <xdr:to>
      <xdr:col>9</xdr:col>
      <xdr:colOff>514350</xdr:colOff>
      <xdr:row>11</xdr:row>
      <xdr:rowOff>28575</xdr:rowOff>
    </xdr:to>
    <xdr:sp macro="" textlink="">
      <xdr:nvSpPr>
        <xdr:cNvPr id="4097" name="Text Box 1"/>
        <xdr:cNvSpPr txBox="1">
          <a:spLocks noChangeArrowheads="1"/>
        </xdr:cNvSpPr>
      </xdr:nvSpPr>
      <xdr:spPr bwMode="auto">
        <a:xfrm>
          <a:off x="2543175" y="104775"/>
          <a:ext cx="3514725" cy="1704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1" i="0" u="none" strike="noStrike" baseline="0">
              <a:solidFill>
                <a:srgbClr val="000000"/>
              </a:solidFill>
              <a:latin typeface="Arial CE"/>
              <a:cs typeface="Arial CE"/>
            </a:rPr>
            <a:t>Aproximace dat pomocí metody nejmenších čtverců</a:t>
          </a:r>
          <a:endParaRPr lang="cs-CZ" sz="1000" b="0" i="0" u="none" strike="noStrike" baseline="0">
            <a:solidFill>
              <a:srgbClr val="000000"/>
            </a:solidFill>
            <a:latin typeface="Arial CE"/>
            <a:cs typeface="Arial CE"/>
          </a:endParaRPr>
        </a:p>
        <a:p>
          <a:pPr algn="l" rtl="0">
            <a:defRPr sz="1000"/>
          </a:pPr>
          <a:r>
            <a:rPr lang="cs-CZ" sz="1000" b="0" i="0" u="none" strike="noStrike" baseline="0">
              <a:solidFill>
                <a:srgbClr val="000000"/>
              </a:solidFill>
              <a:latin typeface="Arial CE"/>
              <a:cs typeface="Arial CE"/>
            </a:rPr>
            <a:t>1. Vytvořte bodový graf znázorňující závislost </a:t>
          </a:r>
          <a:r>
            <a:rPr lang="cs-CZ" sz="1000" b="0" i="1" u="none" strike="noStrike" baseline="0">
              <a:solidFill>
                <a:srgbClr val="000000"/>
              </a:solidFill>
              <a:latin typeface="Arial CE"/>
              <a:cs typeface="Arial CE"/>
            </a:rPr>
            <a:t>y</a:t>
          </a:r>
          <a:r>
            <a:rPr lang="cs-CZ" sz="1000" b="0" i="0" u="none" strike="noStrike" baseline="0">
              <a:solidFill>
                <a:srgbClr val="000000"/>
              </a:solidFill>
              <a:latin typeface="Arial CE"/>
              <a:cs typeface="Arial CE"/>
            </a:rPr>
            <a:t> na </a:t>
          </a:r>
          <a:r>
            <a:rPr lang="cs-CZ" sz="1000" b="0" i="1" u="none" strike="noStrike" baseline="0">
              <a:solidFill>
                <a:srgbClr val="000000"/>
              </a:solidFill>
              <a:latin typeface="Arial CE"/>
              <a:cs typeface="Arial CE"/>
            </a:rPr>
            <a:t>x</a:t>
          </a:r>
          <a:r>
            <a:rPr lang="cs-CZ" sz="1000" b="0" i="0" u="none" strike="noStrike" baseline="0">
              <a:solidFill>
                <a:srgbClr val="000000"/>
              </a:solidFill>
              <a:latin typeface="Arial CE"/>
              <a:cs typeface="Arial CE"/>
            </a:rPr>
            <a:t>.</a:t>
          </a:r>
        </a:p>
        <a:p>
          <a:pPr algn="l" rtl="0">
            <a:defRPr sz="1000"/>
          </a:pPr>
          <a:r>
            <a:rPr lang="cs-CZ" sz="1000" b="0" i="0" u="none" strike="noStrike" baseline="0">
              <a:solidFill>
                <a:srgbClr val="000000"/>
              </a:solidFill>
              <a:latin typeface="Arial CE"/>
              <a:cs typeface="Arial CE"/>
            </a:rPr>
            <a:t>2. Podle tvaru křivky na grafu se rozhodněte pro model závislosti, například pro kvadratický model </a:t>
          </a:r>
          <a:r>
            <a:rPr lang="cs-CZ" sz="1000" b="0" i="1" u="none" strike="noStrike" baseline="0">
              <a:solidFill>
                <a:srgbClr val="000000"/>
              </a:solidFill>
              <a:latin typeface="Arial CE"/>
              <a:cs typeface="Arial CE"/>
            </a:rPr>
            <a:t>y</a:t>
          </a:r>
          <a:r>
            <a:rPr lang="cs-CZ" sz="1000" b="0" i="0" u="none" strike="noStrike" baseline="0">
              <a:solidFill>
                <a:srgbClr val="000000"/>
              </a:solidFill>
              <a:latin typeface="Arial CE"/>
              <a:cs typeface="Arial CE"/>
            </a:rPr>
            <a:t> = </a:t>
          </a:r>
          <a:r>
            <a:rPr lang="cs-CZ" sz="1000" b="0" i="1" u="none" strike="noStrike" baseline="0">
              <a:solidFill>
                <a:srgbClr val="000000"/>
              </a:solidFill>
              <a:latin typeface="Arial CE"/>
              <a:cs typeface="Arial CE"/>
            </a:rPr>
            <a:t>ax</a:t>
          </a:r>
          <a:r>
            <a:rPr lang="cs-CZ" sz="1000" b="0" i="0" u="none" strike="noStrike" baseline="30000">
              <a:solidFill>
                <a:srgbClr val="000000"/>
              </a:solidFill>
              <a:latin typeface="Arial CE"/>
              <a:cs typeface="Arial CE"/>
            </a:rPr>
            <a:t>2</a:t>
          </a:r>
          <a:r>
            <a:rPr lang="cs-CZ" sz="1000" b="0" i="0" u="none" strike="noStrike" baseline="0">
              <a:solidFill>
                <a:srgbClr val="000000"/>
              </a:solidFill>
              <a:latin typeface="Arial CE"/>
              <a:cs typeface="Arial CE"/>
            </a:rPr>
            <a:t> + </a:t>
          </a:r>
          <a:r>
            <a:rPr lang="cs-CZ" sz="1000" b="0" i="1" u="none" strike="noStrike" baseline="0">
              <a:solidFill>
                <a:srgbClr val="000000"/>
              </a:solidFill>
              <a:latin typeface="Arial CE"/>
              <a:cs typeface="Arial CE"/>
            </a:rPr>
            <a:t>bx</a:t>
          </a:r>
          <a:r>
            <a:rPr lang="cs-CZ" sz="1000" b="0" i="0" u="none" strike="noStrike" baseline="0">
              <a:solidFill>
                <a:srgbClr val="000000"/>
              </a:solidFill>
              <a:latin typeface="Arial CE"/>
              <a:cs typeface="Arial CE"/>
            </a:rPr>
            <a:t> + </a:t>
          </a:r>
          <a:r>
            <a:rPr lang="cs-CZ" sz="1000" b="0" i="1" u="none" strike="noStrike" baseline="0">
              <a:solidFill>
                <a:srgbClr val="000000"/>
              </a:solidFill>
              <a:latin typeface="Arial CE"/>
              <a:cs typeface="Arial CE"/>
            </a:rPr>
            <a:t>c</a:t>
          </a:r>
          <a:r>
            <a:rPr lang="cs-CZ" sz="1000" b="0" i="0" u="none" strike="noStrike" baseline="0">
              <a:solidFill>
                <a:srgbClr val="000000"/>
              </a:solidFill>
              <a:latin typeface="Arial CE"/>
              <a:cs typeface="Arial CE"/>
            </a:rPr>
            <a:t>.</a:t>
          </a:r>
        </a:p>
        <a:p>
          <a:pPr algn="l" rtl="0">
            <a:defRPr sz="1000"/>
          </a:pPr>
          <a:r>
            <a:rPr lang="cs-CZ" sz="1000" b="0" i="0" u="none" strike="noStrike" baseline="0">
              <a:solidFill>
                <a:srgbClr val="000000"/>
              </a:solidFill>
              <a:latin typeface="Arial CE"/>
              <a:cs typeface="Arial CE"/>
            </a:rPr>
            <a:t>3. Vypočtěte koeficienty modelu metodou nejmenších čtverců.</a:t>
          </a:r>
        </a:p>
        <a:p>
          <a:pPr algn="l" rtl="0">
            <a:defRPr sz="1000"/>
          </a:pPr>
          <a:r>
            <a:rPr lang="cs-CZ" sz="1000" b="0" i="0" u="none" strike="noStrike" baseline="0">
              <a:solidFill>
                <a:srgbClr val="000000"/>
              </a:solidFill>
              <a:latin typeface="Arial CE"/>
              <a:cs typeface="Arial CE"/>
            </a:rPr>
            <a:t>4. Zadejte vzorec pro model s vypočtenými koeficienty do sloupečku "Odhad y".</a:t>
          </a:r>
        </a:p>
        <a:p>
          <a:pPr algn="l" rtl="0">
            <a:defRPr sz="1000"/>
          </a:pPr>
          <a:r>
            <a:rPr lang="cs-CZ" sz="1000" b="0" i="0" u="none" strike="noStrike" baseline="0">
              <a:solidFill>
                <a:srgbClr val="000000"/>
              </a:solidFill>
              <a:latin typeface="Arial CE"/>
              <a:cs typeface="Arial CE"/>
            </a:rPr>
            <a:t>5. Suma čtverců odchylek pro kvadratický model by měla vyjít 0,023022469708325.</a:t>
          </a:r>
        </a:p>
        <a:p>
          <a:pPr algn="l" rtl="0">
            <a:defRPr sz="1000"/>
          </a:pPr>
          <a:r>
            <a:rPr lang="cs-CZ" sz="1000" b="0" i="0" u="none" strike="noStrike" baseline="0">
              <a:solidFill>
                <a:srgbClr val="000000"/>
              </a:solidFill>
              <a:latin typeface="Arial CE"/>
              <a:cs typeface="Arial CE"/>
            </a:rPr>
            <a:t>6. Přidejte do grafu řadu "Odhad y".</a:t>
          </a:r>
          <a:endParaRPr lang="cs-CZ"/>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13</xdr:row>
      <xdr:rowOff>57150</xdr:rowOff>
    </xdr:from>
    <xdr:to>
      <xdr:col>4</xdr:col>
      <xdr:colOff>571500</xdr:colOff>
      <xdr:row>18</xdr:row>
      <xdr:rowOff>104775</xdr:rowOff>
    </xdr:to>
    <xdr:pic>
      <xdr:nvPicPr>
        <xdr:cNvPr id="104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62175"/>
          <a:ext cx="2971800" cy="8572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38100</xdr:colOff>
      <xdr:row>13</xdr:row>
      <xdr:rowOff>57150</xdr:rowOff>
    </xdr:from>
    <xdr:to>
      <xdr:col>10</xdr:col>
      <xdr:colOff>571500</xdr:colOff>
      <xdr:row>18</xdr:row>
      <xdr:rowOff>104775</xdr:rowOff>
    </xdr:to>
    <xdr:pic>
      <xdr:nvPicPr>
        <xdr:cNvPr id="1050" name="Picture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5700" y="2162175"/>
          <a:ext cx="2971800" cy="8572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25</xdr:row>
      <xdr:rowOff>38100</xdr:rowOff>
    </xdr:from>
    <xdr:to>
      <xdr:col>14</xdr:col>
      <xdr:colOff>504825</xdr:colOff>
      <xdr:row>49</xdr:row>
      <xdr:rowOff>57150</xdr:rowOff>
    </xdr:to>
    <xdr:graphicFrame macro="">
      <xdr:nvGraphicFramePr>
        <xdr:cNvPr id="8224"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76200</xdr:colOff>
          <xdr:row>2</xdr:row>
          <xdr:rowOff>114300</xdr:rowOff>
        </xdr:from>
        <xdr:to>
          <xdr:col>14</xdr:col>
          <xdr:colOff>238125</xdr:colOff>
          <xdr:row>23</xdr:row>
          <xdr:rowOff>57150</xdr:rowOff>
        </xdr:to>
        <xdr:sp macro="" textlink="">
          <xdr:nvSpPr>
            <xdr:cNvPr id="8198" name="Scroll Bar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xdr:twoCellAnchor>
    <xdr:from>
      <xdr:col>3</xdr:col>
      <xdr:colOff>95250</xdr:colOff>
      <xdr:row>12</xdr:row>
      <xdr:rowOff>9525</xdr:rowOff>
    </xdr:from>
    <xdr:to>
      <xdr:col>10</xdr:col>
      <xdr:colOff>523875</xdr:colOff>
      <xdr:row>23</xdr:row>
      <xdr:rowOff>104775</xdr:rowOff>
    </xdr:to>
    <xdr:sp macro="" textlink="">
      <xdr:nvSpPr>
        <xdr:cNvPr id="8199" name="Text Box 7"/>
        <xdr:cNvSpPr txBox="1">
          <a:spLocks noChangeArrowheads="1"/>
        </xdr:cNvSpPr>
      </xdr:nvSpPr>
      <xdr:spPr bwMode="auto">
        <a:xfrm>
          <a:off x="1924050" y="1952625"/>
          <a:ext cx="4695825" cy="1876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Tabulka, do které jsou přidávat řádky, a z ní vycházející kontingenční tabulka je okamžitě přepočítávána.</a:t>
          </a:r>
        </a:p>
        <a:p>
          <a:pPr algn="l" rtl="0">
            <a:defRPr sz="1000"/>
          </a:pPr>
          <a:r>
            <a:rPr lang="cs-CZ" sz="1000" b="0" i="0" u="none" strike="noStrike" baseline="0">
              <a:solidFill>
                <a:srgbClr val="000000"/>
              </a:solidFill>
              <a:latin typeface="Arial CE"/>
              <a:cs typeface="Arial CE"/>
            </a:rPr>
            <a:t>Byly nadefinovány oblasti "Předmět", "Kancelář" a "Množství".</a:t>
          </a:r>
        </a:p>
        <a:p>
          <a:pPr algn="l" rtl="0">
            <a:defRPr sz="1000"/>
          </a:pPr>
          <a:r>
            <a:rPr lang="cs-CZ" sz="1000" b="0" i="0" u="none" strike="noStrike" baseline="0">
              <a:solidFill>
                <a:srgbClr val="000000"/>
              </a:solidFill>
              <a:latin typeface="Arial CE"/>
              <a:cs typeface="Arial CE"/>
            </a:rPr>
            <a:t>Tyto oblasti nejsou vidět v poli názvů ale jen v nabídce Vložit - Název - Definovat, protože jsou dynamické.</a:t>
          </a:r>
        </a:p>
        <a:p>
          <a:pPr algn="l" rtl="0">
            <a:defRPr sz="1000"/>
          </a:pPr>
          <a:r>
            <a:rPr lang="cs-CZ" sz="1000" b="0" i="0" u="none" strike="noStrike" baseline="0">
              <a:solidFill>
                <a:srgbClr val="000000"/>
              </a:solidFill>
              <a:latin typeface="Arial CE"/>
              <a:cs typeface="Arial CE"/>
            </a:rPr>
            <a:t>Oblast "Předmět" je definována jako funkce</a:t>
          </a:r>
        </a:p>
        <a:p>
          <a:pPr algn="l" rtl="0">
            <a:defRPr sz="1000"/>
          </a:pPr>
          <a:r>
            <a:rPr lang="cs-CZ" sz="1000" b="0" i="0" u="none" strike="noStrike" baseline="0">
              <a:solidFill>
                <a:srgbClr val="000000"/>
              </a:solidFill>
              <a:latin typeface="Arial CE"/>
              <a:cs typeface="Arial CE"/>
            </a:rPr>
            <a:t>=POSUN('Funkce POSUN'!$A$1;1;0;POČET2('Funkce POSUN'!$A:$A)-1)</a:t>
          </a:r>
        </a:p>
        <a:p>
          <a:pPr algn="l" rtl="0">
            <a:defRPr sz="1000"/>
          </a:pPr>
          <a:r>
            <a:rPr lang="cs-CZ" sz="1000" b="0" i="0" u="none" strike="noStrike" baseline="0">
              <a:solidFill>
                <a:srgbClr val="000000"/>
              </a:solidFill>
              <a:latin typeface="Arial CE"/>
              <a:cs typeface="Arial CE"/>
            </a:rPr>
            <a:t>Znamená to:</a:t>
          </a:r>
        </a:p>
        <a:p>
          <a:pPr algn="l" rtl="0">
            <a:defRPr sz="1000"/>
          </a:pPr>
          <a:r>
            <a:rPr lang="cs-CZ" sz="1000" b="0" i="0" u="none" strike="noStrike" baseline="0">
              <a:solidFill>
                <a:srgbClr val="000000"/>
              </a:solidFill>
              <a:latin typeface="Arial CE"/>
              <a:cs typeface="Arial CE"/>
            </a:rPr>
            <a:t>Na listu "Funkce POSUN" vyber buňku A1, posuň výběr od ní o 1 buňku dolů a o 0 buněk doprava, rozšiř dolů výběr na tolik buněk, kolik je vyplněno buněk ve sloupčečku A mínus 1.</a:t>
          </a:r>
        </a:p>
        <a:p>
          <a:pPr algn="l" rtl="0">
            <a:defRPr sz="1000"/>
          </a:pPr>
          <a:endParaRPr lang="cs-CZ"/>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2</xdr:row>
          <xdr:rowOff>104775</xdr:rowOff>
        </xdr:from>
        <xdr:to>
          <xdr:col>20</xdr:col>
          <xdr:colOff>257175</xdr:colOff>
          <xdr:row>23</xdr:row>
          <xdr:rowOff>47625</xdr:rowOff>
        </xdr:to>
        <xdr:sp macro="" textlink="">
          <xdr:nvSpPr>
            <xdr:cNvPr id="8200" name="Scroll Bar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xdr:row>
          <xdr:rowOff>95250</xdr:rowOff>
        </xdr:from>
        <xdr:to>
          <xdr:col>22</xdr:col>
          <xdr:colOff>228600</xdr:colOff>
          <xdr:row>23</xdr:row>
          <xdr:rowOff>38100</xdr:rowOff>
        </xdr:to>
        <xdr:sp macro="" textlink="">
          <xdr:nvSpPr>
            <xdr:cNvPr id="8201" name="Scroll Bar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xdr:twoCellAnchor>
    <xdr:from>
      <xdr:col>19</xdr:col>
      <xdr:colOff>76200</xdr:colOff>
      <xdr:row>25</xdr:row>
      <xdr:rowOff>47625</xdr:rowOff>
    </xdr:from>
    <xdr:to>
      <xdr:col>28</xdr:col>
      <xdr:colOff>161925</xdr:colOff>
      <xdr:row>49</xdr:row>
      <xdr:rowOff>66675</xdr:rowOff>
    </xdr:to>
    <xdr:graphicFrame macro="">
      <xdr:nvGraphicFramePr>
        <xdr:cNvPr id="8226"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95250</xdr:colOff>
      <xdr:row>3</xdr:row>
      <xdr:rowOff>9525</xdr:rowOff>
    </xdr:from>
    <xdr:to>
      <xdr:col>30</xdr:col>
      <xdr:colOff>209550</xdr:colOff>
      <xdr:row>14</xdr:row>
      <xdr:rowOff>104775</xdr:rowOff>
    </xdr:to>
    <xdr:sp macro="" textlink="">
      <xdr:nvSpPr>
        <xdr:cNvPr id="8203" name="Text Box 11"/>
        <xdr:cNvSpPr txBox="1">
          <a:spLocks noChangeArrowheads="1"/>
        </xdr:cNvSpPr>
      </xdr:nvSpPr>
      <xdr:spPr bwMode="auto">
        <a:xfrm>
          <a:off x="14182725" y="495300"/>
          <a:ext cx="4695825" cy="1876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Graf, ve kterém se pomocí posuvníků vybírají zdrojové řádky.</a:t>
          </a:r>
        </a:p>
        <a:p>
          <a:pPr algn="l" rtl="0">
            <a:defRPr sz="1000"/>
          </a:pPr>
          <a:r>
            <a:rPr lang="cs-CZ" sz="1000" b="0" i="0" u="none" strike="noStrike" baseline="0">
              <a:solidFill>
                <a:srgbClr val="000000"/>
              </a:solidFill>
              <a:latin typeface="Arial CE"/>
              <a:cs typeface="Arial CE"/>
            </a:rPr>
            <a:t>Byly nadefinovány oblasti "DatumPX" a "_PX50".</a:t>
          </a:r>
        </a:p>
        <a:p>
          <a:pPr algn="l" rtl="0">
            <a:defRPr sz="1000"/>
          </a:pPr>
          <a:r>
            <a:rPr lang="cs-CZ" sz="1000" b="0" i="0" u="none" strike="noStrike" baseline="0">
              <a:solidFill>
                <a:srgbClr val="000000"/>
              </a:solidFill>
              <a:latin typeface="Arial CE"/>
              <a:cs typeface="Arial CE"/>
            </a:rPr>
            <a:t>Tyto oblasti nejsou vidět v poli názvů ale jen v nabídce Vložit - Název - Definovat, protože jsou dynamické.</a:t>
          </a:r>
        </a:p>
        <a:p>
          <a:pPr algn="l" rtl="0">
            <a:defRPr sz="1000"/>
          </a:pPr>
          <a:r>
            <a:rPr lang="cs-CZ" sz="1000" b="0" i="0" u="none" strike="noStrike" baseline="0">
              <a:solidFill>
                <a:srgbClr val="000000"/>
              </a:solidFill>
              <a:latin typeface="Arial CE"/>
              <a:cs typeface="Arial CE"/>
            </a:rPr>
            <a:t>Oblast "DatumPX" je definována jako funkce</a:t>
          </a:r>
        </a:p>
        <a:p>
          <a:pPr algn="l" rtl="0">
            <a:defRPr sz="1000"/>
          </a:pPr>
          <a:r>
            <a:rPr lang="cs-CZ" sz="1000" b="0" i="0" u="none" strike="noStrike" baseline="0">
              <a:solidFill>
                <a:srgbClr val="000000"/>
              </a:solidFill>
              <a:latin typeface="Arial CE"/>
              <a:cs typeface="Arial CE"/>
            </a:rPr>
            <a:t>=POSUN('Funkce POSUN'!$R$1;'Funkce POSUN'!$W$2;0;'Funkce POSUN'!$U$2)</a:t>
          </a:r>
        </a:p>
        <a:p>
          <a:pPr algn="l" rtl="0">
            <a:defRPr sz="1000"/>
          </a:pPr>
          <a:r>
            <a:rPr lang="cs-CZ" sz="1000" b="0" i="0" u="none" strike="noStrike" baseline="0">
              <a:solidFill>
                <a:srgbClr val="000000"/>
              </a:solidFill>
              <a:latin typeface="Arial CE"/>
              <a:cs typeface="Arial CE"/>
            </a:rPr>
            <a:t>Znamená to:</a:t>
          </a:r>
        </a:p>
        <a:p>
          <a:pPr algn="l" rtl="0">
            <a:defRPr sz="1000"/>
          </a:pPr>
          <a:r>
            <a:rPr lang="cs-CZ" sz="1000" b="0" i="0" u="none" strike="noStrike" baseline="0">
              <a:solidFill>
                <a:srgbClr val="000000"/>
              </a:solidFill>
              <a:latin typeface="Arial CE"/>
              <a:cs typeface="Arial CE"/>
            </a:rPr>
            <a:t>Na listu "Funkce POSUN" vyber buňku R1, posuň výběr od ní dolů o tolik buněk, kolik je hodnota v buňce W2 a o 0 buněk doprava a rozšiř dolů výběr na tolik buněk, kolik je hodnota v buňce U2.</a:t>
          </a:r>
        </a:p>
        <a:p>
          <a:pPr algn="l"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200025</xdr:colOff>
      <xdr:row>0</xdr:row>
      <xdr:rowOff>95250</xdr:rowOff>
    </xdr:from>
    <xdr:to>
      <xdr:col>16</xdr:col>
      <xdr:colOff>600075</xdr:colOff>
      <xdr:row>24</xdr:row>
      <xdr:rowOff>114300</xdr:rowOff>
    </xdr:to>
    <xdr:graphicFrame macro="">
      <xdr:nvGraphicFramePr>
        <xdr:cNvPr id="718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161925</xdr:colOff>
          <xdr:row>25</xdr:row>
          <xdr:rowOff>104775</xdr:rowOff>
        </xdr:from>
        <xdr:to>
          <xdr:col>7</xdr:col>
          <xdr:colOff>400050</xdr:colOff>
          <xdr:row>47</xdr:row>
          <xdr:rowOff>9525</xdr:rowOff>
        </xdr:to>
        <xdr:sp macro="" textlink="">
          <xdr:nvSpPr>
            <xdr:cNvPr id="7170" name="Scroll Bar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7</xdr:col>
      <xdr:colOff>600075</xdr:colOff>
      <xdr:row>29</xdr:row>
      <xdr:rowOff>142875</xdr:rowOff>
    </xdr:from>
    <xdr:to>
      <xdr:col>17</xdr:col>
      <xdr:colOff>390525</xdr:colOff>
      <xdr:row>62</xdr:row>
      <xdr:rowOff>114300</xdr:rowOff>
    </xdr:to>
    <xdr:graphicFrame macro="">
      <xdr:nvGraphicFramePr>
        <xdr:cNvPr id="7183"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12</xdr:row>
      <xdr:rowOff>142875</xdr:rowOff>
    </xdr:from>
    <xdr:to>
      <xdr:col>5</xdr:col>
      <xdr:colOff>571500</xdr:colOff>
      <xdr:row>17</xdr:row>
      <xdr:rowOff>95250</xdr:rowOff>
    </xdr:to>
    <xdr:sp macro="" textlink="">
      <xdr:nvSpPr>
        <xdr:cNvPr id="6147" name="Text Box 3"/>
        <xdr:cNvSpPr txBox="1">
          <a:spLocks noChangeArrowheads="1"/>
        </xdr:cNvSpPr>
      </xdr:nvSpPr>
      <xdr:spPr bwMode="auto">
        <a:xfrm>
          <a:off x="47625" y="208597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Doplňujeme-li cenu ze setříděného ceníku, nemusíme ve funkci SVYHLEDAT použít parametr "Typ".</a:t>
          </a:r>
          <a:endParaRPr lang="cs-CZ"/>
        </a:p>
      </xdr:txBody>
    </xdr:sp>
    <xdr:clientData/>
  </xdr:twoCellAnchor>
  <xdr:twoCellAnchor>
    <xdr:from>
      <xdr:col>7</xdr:col>
      <xdr:colOff>47625</xdr:colOff>
      <xdr:row>12</xdr:row>
      <xdr:rowOff>142875</xdr:rowOff>
    </xdr:from>
    <xdr:to>
      <xdr:col>12</xdr:col>
      <xdr:colOff>571500</xdr:colOff>
      <xdr:row>17</xdr:row>
      <xdr:rowOff>95250</xdr:rowOff>
    </xdr:to>
    <xdr:sp macro="" textlink="">
      <xdr:nvSpPr>
        <xdr:cNvPr id="6148" name="Text Box 4"/>
        <xdr:cNvSpPr txBox="1">
          <a:spLocks noChangeArrowheads="1"/>
        </xdr:cNvSpPr>
      </xdr:nvSpPr>
      <xdr:spPr bwMode="auto">
        <a:xfrm>
          <a:off x="4314825" y="208597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Doplňujeme-li cenu z nesetříděného ceníku a nemáme ve funkci SVYHLEDAT vyplněný parametr "Typ", je výsledek špatně. Zde u výrobku C.</a:t>
          </a:r>
          <a:endParaRPr lang="cs-CZ"/>
        </a:p>
      </xdr:txBody>
    </xdr:sp>
    <xdr:clientData/>
  </xdr:twoCellAnchor>
  <xdr:twoCellAnchor>
    <xdr:from>
      <xdr:col>14</xdr:col>
      <xdr:colOff>47625</xdr:colOff>
      <xdr:row>12</xdr:row>
      <xdr:rowOff>123825</xdr:rowOff>
    </xdr:from>
    <xdr:to>
      <xdr:col>19</xdr:col>
      <xdr:colOff>571500</xdr:colOff>
      <xdr:row>17</xdr:row>
      <xdr:rowOff>76200</xdr:rowOff>
    </xdr:to>
    <xdr:sp macro="" textlink="">
      <xdr:nvSpPr>
        <xdr:cNvPr id="6149" name="Text Box 5"/>
        <xdr:cNvSpPr txBox="1">
          <a:spLocks noChangeArrowheads="1"/>
        </xdr:cNvSpPr>
      </xdr:nvSpPr>
      <xdr:spPr bwMode="auto">
        <a:xfrm>
          <a:off x="8582025" y="206692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Doplňujeme-li cenu z nesetříděného ceníku, musíme ve funkci SVYHLEDAT mít parametr "Typ" = 0.</a:t>
          </a:r>
          <a:endParaRPr lang="cs-CZ"/>
        </a:p>
      </xdr:txBody>
    </xdr:sp>
    <xdr:clientData/>
  </xdr:twoCellAnchor>
  <xdr:twoCellAnchor>
    <xdr:from>
      <xdr:col>0</xdr:col>
      <xdr:colOff>57150</xdr:colOff>
      <xdr:row>33</xdr:row>
      <xdr:rowOff>133350</xdr:rowOff>
    </xdr:from>
    <xdr:to>
      <xdr:col>5</xdr:col>
      <xdr:colOff>581025</xdr:colOff>
      <xdr:row>38</xdr:row>
      <xdr:rowOff>85725</xdr:rowOff>
    </xdr:to>
    <xdr:sp macro="" textlink="">
      <xdr:nvSpPr>
        <xdr:cNvPr id="6150" name="Text Box 6"/>
        <xdr:cNvSpPr txBox="1">
          <a:spLocks noChangeArrowheads="1"/>
        </xdr:cNvSpPr>
      </xdr:nvSpPr>
      <xdr:spPr bwMode="auto">
        <a:xfrm>
          <a:off x="57150" y="547687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Parametr "Typ" = 1 nebo vynechaný funkce SVYHLEDAT je potřeba, když hledáme přibližnou hodnotu. Hodnoty v prohledávané tabulce musí být setříděny vzestupně.</a:t>
          </a:r>
          <a:endParaRPr lang="cs-CZ"/>
        </a:p>
      </xdr:txBody>
    </xdr:sp>
    <xdr:clientData/>
  </xdr:twoCellAnchor>
  <xdr:twoCellAnchor>
    <xdr:from>
      <xdr:col>7</xdr:col>
      <xdr:colOff>57150</xdr:colOff>
      <xdr:row>33</xdr:row>
      <xdr:rowOff>133350</xdr:rowOff>
    </xdr:from>
    <xdr:to>
      <xdr:col>12</xdr:col>
      <xdr:colOff>581025</xdr:colOff>
      <xdr:row>38</xdr:row>
      <xdr:rowOff>85725</xdr:rowOff>
    </xdr:to>
    <xdr:sp macro="" textlink="">
      <xdr:nvSpPr>
        <xdr:cNvPr id="6151" name="Text Box 7"/>
        <xdr:cNvSpPr txBox="1">
          <a:spLocks noChangeArrowheads="1"/>
        </xdr:cNvSpPr>
      </xdr:nvSpPr>
      <xdr:spPr bwMode="auto">
        <a:xfrm>
          <a:off x="4324350" y="547687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Pomocí funkce SVYHLEDAT zjišťujeme, která slova v Seznamu chybí ve Slovníku. Když je parametr "Typ" = 1 nebo vynechaný, tak u chybějícího slova D se doplnil výsledek C, což není ideální.</a:t>
          </a:r>
          <a:endParaRPr lang="cs-CZ"/>
        </a:p>
      </xdr:txBody>
    </xdr:sp>
    <xdr:clientData/>
  </xdr:twoCellAnchor>
  <xdr:twoCellAnchor>
    <xdr:from>
      <xdr:col>14</xdr:col>
      <xdr:colOff>57150</xdr:colOff>
      <xdr:row>33</xdr:row>
      <xdr:rowOff>133350</xdr:rowOff>
    </xdr:from>
    <xdr:to>
      <xdr:col>19</xdr:col>
      <xdr:colOff>581025</xdr:colOff>
      <xdr:row>38</xdr:row>
      <xdr:rowOff>85725</xdr:rowOff>
    </xdr:to>
    <xdr:sp macro="" textlink="">
      <xdr:nvSpPr>
        <xdr:cNvPr id="6152" name="Text Box 8"/>
        <xdr:cNvSpPr txBox="1">
          <a:spLocks noChangeArrowheads="1"/>
        </xdr:cNvSpPr>
      </xdr:nvSpPr>
      <xdr:spPr bwMode="auto">
        <a:xfrm>
          <a:off x="8591550" y="5476875"/>
          <a:ext cx="3571875" cy="762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Pomocí funkce SVYHLEDAT zjišťujeme, která slova v Seznamu chybí ve Slovníku. Když je parametr "Typ" = 0, tak u chybějícího slova D se doplnil výsledek #N/A, což identifikuje slovo chybějící ve Slovníku. Slovník nemusí být setříděn.</a:t>
          </a:r>
          <a:endParaRPr lang="cs-CZ"/>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66675</xdr:colOff>
      <xdr:row>78</xdr:row>
      <xdr:rowOff>66675</xdr:rowOff>
    </xdr:from>
    <xdr:to>
      <xdr:col>19</xdr:col>
      <xdr:colOff>542925</xdr:colOff>
      <xdr:row>85</xdr:row>
      <xdr:rowOff>95250</xdr:rowOff>
    </xdr:to>
    <xdr:sp macro="" textlink="">
      <xdr:nvSpPr>
        <xdr:cNvPr id="3154" name="Text Box 82"/>
        <xdr:cNvSpPr txBox="1">
          <a:spLocks noChangeArrowheads="1"/>
        </xdr:cNvSpPr>
      </xdr:nvSpPr>
      <xdr:spPr bwMode="auto">
        <a:xfrm>
          <a:off x="7029450" y="12696825"/>
          <a:ext cx="4133850" cy="1162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Typická úloha z praxe:</a:t>
          </a:r>
        </a:p>
        <a:p>
          <a:pPr algn="l" rtl="0">
            <a:defRPr sz="1000"/>
          </a:pPr>
          <a:r>
            <a:rPr lang="cs-CZ" sz="1000" b="0" i="0" u="none" strike="noStrike" baseline="0">
              <a:solidFill>
                <a:srgbClr val="000000"/>
              </a:solidFill>
              <a:latin typeface="Arial CE"/>
              <a:cs typeface="Arial CE"/>
            </a:rPr>
            <a:t>Je k dispozici seznam podniků s nějakými údaji, které se mají sumovat za stejné podniky. Názvy stejných podniků však nejsou vždy psány stejně. Řešením může být ruční sepsání seznamů jedinečných podniků, tak aby jejich jména byla podřetězcem všech jejich variant názvů. Maticové vzorce v kontingenční tabulce potom využívají textovou funkci HLEDAT.</a:t>
          </a:r>
          <a:endParaRPr lang="cs-CZ"/>
        </a:p>
      </xdr:txBody>
    </xdr:sp>
    <xdr:clientData/>
  </xdr:twoCellAnchor>
  <xdr:twoCellAnchor>
    <xdr:from>
      <xdr:col>9</xdr:col>
      <xdr:colOff>66675</xdr:colOff>
      <xdr:row>102</xdr:row>
      <xdr:rowOff>66675</xdr:rowOff>
    </xdr:from>
    <xdr:to>
      <xdr:col>14</xdr:col>
      <xdr:colOff>523875</xdr:colOff>
      <xdr:row>115</xdr:row>
      <xdr:rowOff>85725</xdr:rowOff>
    </xdr:to>
    <xdr:sp macro="" textlink="">
      <xdr:nvSpPr>
        <xdr:cNvPr id="3158" name="Text Box 86"/>
        <xdr:cNvSpPr txBox="1">
          <a:spLocks noChangeArrowheads="1"/>
        </xdr:cNvSpPr>
      </xdr:nvSpPr>
      <xdr:spPr bwMode="auto">
        <a:xfrm>
          <a:off x="4591050" y="16583025"/>
          <a:ext cx="3505200" cy="2124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Které dva výrobky jsou si nejpodobnější z hlediska jejich procentního podílu v jednotlivých měsících?</a:t>
          </a:r>
        </a:p>
        <a:p>
          <a:pPr algn="l" rtl="0">
            <a:defRPr sz="1000"/>
          </a:pPr>
          <a:r>
            <a:rPr lang="cs-CZ" sz="1000" b="0" i="0" u="none" strike="noStrike" baseline="0">
              <a:solidFill>
                <a:srgbClr val="000000"/>
              </a:solidFill>
              <a:latin typeface="Arial CE"/>
              <a:cs typeface="Arial CE"/>
            </a:rPr>
            <a:t>Budeme to měřit sumou čtverců odchylek za každý měsíc.</a:t>
          </a:r>
        </a:p>
        <a:p>
          <a:pPr algn="l" rtl="0">
            <a:defRPr sz="1000"/>
          </a:pPr>
          <a:endParaRPr lang="cs-CZ" sz="1000" b="0" i="0" u="none" strike="noStrike" baseline="0">
            <a:solidFill>
              <a:srgbClr val="000000"/>
            </a:solidFill>
            <a:latin typeface="Arial CE"/>
            <a:cs typeface="Arial CE"/>
          </a:endParaRPr>
        </a:p>
        <a:p>
          <a:pPr algn="l" rtl="0">
            <a:defRPr sz="1000"/>
          </a:pPr>
          <a:r>
            <a:rPr lang="cs-CZ" sz="1000" b="0" i="0" u="none" strike="noStrike" baseline="0">
              <a:solidFill>
                <a:srgbClr val="000000"/>
              </a:solidFill>
              <a:latin typeface="Arial CE"/>
              <a:cs typeface="Arial CE"/>
            </a:rPr>
            <a:t>První řešení napravo má tu nevýhodu, že jsme museli do každé buňky dát jiný maticový vzorec.</a:t>
          </a:r>
        </a:p>
        <a:p>
          <a:pPr algn="l" rtl="0">
            <a:defRPr sz="1000"/>
          </a:pPr>
          <a:endParaRPr lang="cs-CZ" sz="1000" b="0" i="0" u="none" strike="noStrike" baseline="0">
            <a:solidFill>
              <a:srgbClr val="000000"/>
            </a:solidFill>
            <a:latin typeface="Arial CE"/>
            <a:cs typeface="Arial CE"/>
          </a:endParaRPr>
        </a:p>
        <a:p>
          <a:pPr algn="l" rtl="0">
            <a:defRPr sz="1000"/>
          </a:pPr>
          <a:r>
            <a:rPr lang="cs-CZ" sz="1000" b="0" i="0" u="none" strike="noStrike" baseline="0">
              <a:solidFill>
                <a:srgbClr val="000000"/>
              </a:solidFill>
              <a:latin typeface="Arial CE"/>
              <a:cs typeface="Arial CE"/>
            </a:rPr>
            <a:t>Druhé řešení využívá navíc vzorec NEPŘÍMÝ.ODKAZ, který pracuje s označením sloupců a řádků v Excelu. Proto byly do tabulky doplněny názvy sloupců R, S, T, U, V. Pokud místo konstanty ve vzorci použijeme také odkaz na buňky s čísly řádků, můžeme snadno výsledek přepočítat pro jinou délku tabulky nebo pro tabulku přesunutou na jiné místo.</a:t>
          </a:r>
        </a:p>
        <a:p>
          <a:pPr algn="l" rtl="0">
            <a:defRPr sz="1000"/>
          </a:pPr>
          <a:endParaRPr lang="cs-CZ"/>
        </a:p>
      </xdr:txBody>
    </xdr:sp>
    <xdr:clientData/>
  </xdr:twoCellAnchor>
  <xdr:twoCellAnchor>
    <xdr:from>
      <xdr:col>9</xdr:col>
      <xdr:colOff>66675</xdr:colOff>
      <xdr:row>130</xdr:row>
      <xdr:rowOff>66675</xdr:rowOff>
    </xdr:from>
    <xdr:to>
      <xdr:col>14</xdr:col>
      <xdr:colOff>523875</xdr:colOff>
      <xdr:row>147</xdr:row>
      <xdr:rowOff>0</xdr:rowOff>
    </xdr:to>
    <xdr:sp macro="" textlink="">
      <xdr:nvSpPr>
        <xdr:cNvPr id="3159" name="Text Box 87"/>
        <xdr:cNvSpPr txBox="1">
          <a:spLocks noChangeArrowheads="1"/>
        </xdr:cNvSpPr>
      </xdr:nvSpPr>
      <xdr:spPr bwMode="auto">
        <a:xfrm>
          <a:off x="4591050" y="21116925"/>
          <a:ext cx="3505200" cy="2686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CE"/>
              <a:cs typeface="Arial CE"/>
            </a:rPr>
            <a:t>Vyhodnocení výsledků dotazníkové akce</a:t>
          </a:r>
        </a:p>
        <a:p>
          <a:pPr algn="l" rtl="0">
            <a:defRPr sz="1000"/>
          </a:pPr>
          <a:r>
            <a:rPr lang="cs-CZ" sz="1000" b="0" i="0" u="none" strike="noStrike" baseline="0">
              <a:solidFill>
                <a:srgbClr val="000000"/>
              </a:solidFill>
              <a:latin typeface="Arial CE"/>
              <a:cs typeface="Arial CE"/>
            </a:rPr>
            <a:t>V oblasti J119:O129 je tabulka získaná z vyplněných dotazníků. Je třeba vypočítat kolikrát byla u každé otázky vybrána určitá varianta odpovědi.</a:t>
          </a:r>
        </a:p>
        <a:p>
          <a:pPr algn="l" rtl="0">
            <a:defRPr sz="1000"/>
          </a:pPr>
          <a:r>
            <a:rPr lang="cs-CZ" sz="1000" b="0" i="0" u="none" strike="noStrike" baseline="0">
              <a:solidFill>
                <a:srgbClr val="000000"/>
              </a:solidFill>
              <a:latin typeface="Arial CE"/>
              <a:cs typeface="Arial CE"/>
            </a:rPr>
            <a:t>Řešení v buňce R121 využívající vzorec NEPŘÍMÝ.ODKAZ kombinovaný s podmíněným součtem se používá takto:</a:t>
          </a:r>
        </a:p>
        <a:p>
          <a:pPr algn="l" rtl="0">
            <a:defRPr sz="1000"/>
          </a:pPr>
          <a:r>
            <a:rPr lang="cs-CZ" sz="1000" b="0" i="0" u="none" strike="noStrike" baseline="0">
              <a:solidFill>
                <a:srgbClr val="000000"/>
              </a:solidFill>
              <a:latin typeface="Arial CE"/>
              <a:cs typeface="Arial CE"/>
            </a:rPr>
            <a:t>Vzorec se zadá jen jednou a potom jej lze kopírovat do všech variant odpovědi i do všech otázek.</a:t>
          </a:r>
        </a:p>
        <a:p>
          <a:pPr algn="l" rtl="0">
            <a:defRPr sz="1000"/>
          </a:pPr>
          <a:r>
            <a:rPr lang="cs-CZ" sz="1000" b="0" i="0" u="none" strike="noStrike" baseline="0">
              <a:solidFill>
                <a:srgbClr val="000000"/>
              </a:solidFill>
              <a:latin typeface="Arial CE"/>
              <a:cs typeface="Arial CE"/>
            </a:rPr>
            <a:t>Při vyhodnocení nové otázky změníme v jejím řádku označení sloupce, například oblast Q135:U137 se mohla zkopírovat z oblasti Q119:T121 a potom se přepsala hodnota v buňce Q136 a R135. Dále je nutné vypsat výčet všech možných odpovědí, viz oblasti R120:T120 a R136:U136.</a:t>
          </a:r>
        </a:p>
        <a:p>
          <a:pPr algn="l" rtl="0">
            <a:defRPr sz="1000"/>
          </a:pPr>
          <a:r>
            <a:rPr lang="cs-CZ" sz="1000" b="0" i="0" u="none" strike="noStrike" baseline="0">
              <a:solidFill>
                <a:srgbClr val="000000"/>
              </a:solidFill>
              <a:latin typeface="Arial CE"/>
              <a:cs typeface="Arial CE"/>
            </a:rPr>
            <a:t>Když se změní počet vyhodnocovaných dotazníků, stačí přepsat čísla řádků, ve kterých dotazníky jsou, což jsou zde buňky Y119 a Y120.</a:t>
          </a:r>
          <a:endParaRPr lang="cs-CZ"/>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a Nejedlová" refreshedDate="42640.453550231483" createdVersion="4" refreshedVersion="4" recordCount="165">
  <cacheSource type="worksheet">
    <worksheetSource ref="A1:H166" sheet="Maticové vzorce"/>
  </cacheSource>
  <cacheFields count="8">
    <cacheField name="Datum" numFmtId="14">
      <sharedItems containsSemiMixedTypes="0" containsNonDate="0" containsDate="1" containsString="0" minDate="1998-01-05T00:00:00" maxDate="1998-07-01T00:00:00"/>
    </cacheField>
    <cacheField name="Měsíc" numFmtId="0">
      <sharedItems containsSemiMixedTypes="0" containsString="0" containsNumber="1" containsInteger="1" minValue="1" maxValue="6"/>
    </cacheField>
    <cacheField name="Den týdne" numFmtId="0">
      <sharedItems containsSemiMixedTypes="0" containsString="0" containsNumber="1" containsInteger="1" minValue="1" maxValue="5" count="5">
        <n v="1"/>
        <n v="2"/>
        <n v="3"/>
        <n v="4"/>
        <n v="5"/>
      </sharedItems>
    </cacheField>
    <cacheField name="Výrobek" numFmtId="0">
      <sharedItems count="6">
        <s v="BON"/>
        <s v="KAU"/>
        <s v="FIN"/>
        <s v="SAF"/>
        <s v="INV"/>
        <s v="POD"/>
      </sharedItems>
    </cacheField>
    <cacheField name="Počet" numFmtId="0">
      <sharedItems containsSemiMixedTypes="0" containsString="0" containsNumber="1" containsInteger="1" minValue="2" maxValue="10"/>
    </cacheField>
    <cacheField name="Cena" numFmtId="0">
      <sharedItems containsSemiMixedTypes="0" containsString="0" containsNumber="1" containsInteger="1" minValue="1900" maxValue="19000"/>
    </cacheField>
    <cacheField name="Tržba" numFmtId="0">
      <sharedItems containsSemiMixedTypes="0" containsString="0" containsNumber="1" containsInteger="1" minValue="3800" maxValue="190000"/>
    </cacheField>
    <cacheField name="Zákazník" numFmtId="0">
      <sharedItems count="4">
        <s v="P"/>
        <s v="B"/>
        <s v="F"/>
        <s v="J"/>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5">
  <r>
    <d v="1998-01-05T00:00:00"/>
    <n v="1"/>
    <x v="0"/>
    <x v="0"/>
    <n v="2"/>
    <n v="3800"/>
    <n v="7600"/>
    <x v="0"/>
  </r>
  <r>
    <d v="1998-01-05T00:00:00"/>
    <n v="1"/>
    <x v="0"/>
    <x v="1"/>
    <n v="2"/>
    <n v="10000"/>
    <n v="20000"/>
    <x v="0"/>
  </r>
  <r>
    <d v="1998-01-06T00:00:00"/>
    <n v="1"/>
    <x v="1"/>
    <x v="0"/>
    <n v="8"/>
    <n v="3800"/>
    <n v="30400"/>
    <x v="1"/>
  </r>
  <r>
    <d v="1998-01-06T00:00:00"/>
    <n v="1"/>
    <x v="1"/>
    <x v="2"/>
    <n v="10"/>
    <n v="4000"/>
    <n v="40000"/>
    <x v="1"/>
  </r>
  <r>
    <d v="1998-01-06T00:00:00"/>
    <n v="1"/>
    <x v="1"/>
    <x v="3"/>
    <n v="8"/>
    <n v="19000"/>
    <n v="152000"/>
    <x v="1"/>
  </r>
  <r>
    <d v="1998-01-07T00:00:00"/>
    <n v="1"/>
    <x v="2"/>
    <x v="4"/>
    <n v="8"/>
    <n v="2400"/>
    <n v="19200"/>
    <x v="0"/>
  </r>
  <r>
    <d v="1998-01-08T00:00:00"/>
    <n v="1"/>
    <x v="3"/>
    <x v="2"/>
    <n v="6"/>
    <n v="4000"/>
    <n v="24000"/>
    <x v="0"/>
  </r>
  <r>
    <d v="1998-01-08T00:00:00"/>
    <n v="1"/>
    <x v="3"/>
    <x v="2"/>
    <n v="10"/>
    <n v="4000"/>
    <n v="40000"/>
    <x v="0"/>
  </r>
  <r>
    <d v="1998-01-08T00:00:00"/>
    <n v="1"/>
    <x v="3"/>
    <x v="4"/>
    <n v="6"/>
    <n v="2400"/>
    <n v="14400"/>
    <x v="0"/>
  </r>
  <r>
    <d v="1998-01-09T00:00:00"/>
    <n v="1"/>
    <x v="4"/>
    <x v="0"/>
    <n v="8"/>
    <n v="3800"/>
    <n v="30400"/>
    <x v="0"/>
  </r>
  <r>
    <d v="1998-01-09T00:00:00"/>
    <n v="1"/>
    <x v="4"/>
    <x v="0"/>
    <n v="8"/>
    <n v="3800"/>
    <n v="30400"/>
    <x v="0"/>
  </r>
  <r>
    <d v="1998-01-09T00:00:00"/>
    <n v="1"/>
    <x v="4"/>
    <x v="3"/>
    <n v="8"/>
    <n v="19000"/>
    <n v="152000"/>
    <x v="0"/>
  </r>
  <r>
    <d v="1998-01-14T00:00:00"/>
    <n v="1"/>
    <x v="2"/>
    <x v="0"/>
    <n v="10"/>
    <n v="3800"/>
    <n v="38000"/>
    <x v="0"/>
  </r>
  <r>
    <d v="1998-01-16T00:00:00"/>
    <n v="1"/>
    <x v="4"/>
    <x v="0"/>
    <n v="10"/>
    <n v="3800"/>
    <n v="38000"/>
    <x v="0"/>
  </r>
  <r>
    <d v="1998-01-16T00:00:00"/>
    <n v="1"/>
    <x v="4"/>
    <x v="2"/>
    <n v="2"/>
    <n v="4000"/>
    <n v="8000"/>
    <x v="0"/>
  </r>
  <r>
    <d v="1998-01-16T00:00:00"/>
    <n v="1"/>
    <x v="4"/>
    <x v="4"/>
    <n v="10"/>
    <n v="2400"/>
    <n v="24000"/>
    <x v="0"/>
  </r>
  <r>
    <d v="1998-01-19T00:00:00"/>
    <n v="1"/>
    <x v="0"/>
    <x v="0"/>
    <n v="8"/>
    <n v="3800"/>
    <n v="30400"/>
    <x v="0"/>
  </r>
  <r>
    <d v="1998-01-19T00:00:00"/>
    <n v="1"/>
    <x v="0"/>
    <x v="0"/>
    <n v="10"/>
    <n v="3800"/>
    <n v="38000"/>
    <x v="2"/>
  </r>
  <r>
    <d v="1998-01-19T00:00:00"/>
    <n v="1"/>
    <x v="0"/>
    <x v="2"/>
    <n v="4"/>
    <n v="4000"/>
    <n v="16000"/>
    <x v="0"/>
  </r>
  <r>
    <d v="1998-01-26T00:00:00"/>
    <n v="1"/>
    <x v="0"/>
    <x v="4"/>
    <n v="2"/>
    <n v="2400"/>
    <n v="4800"/>
    <x v="0"/>
  </r>
  <r>
    <d v="1998-01-26T00:00:00"/>
    <n v="1"/>
    <x v="0"/>
    <x v="1"/>
    <n v="10"/>
    <n v="10000"/>
    <n v="100000"/>
    <x v="0"/>
  </r>
  <r>
    <d v="1998-01-26T00:00:00"/>
    <n v="1"/>
    <x v="0"/>
    <x v="3"/>
    <n v="8"/>
    <n v="19000"/>
    <n v="152000"/>
    <x v="0"/>
  </r>
  <r>
    <d v="1998-01-29T00:00:00"/>
    <n v="1"/>
    <x v="3"/>
    <x v="4"/>
    <n v="4"/>
    <n v="2400"/>
    <n v="9600"/>
    <x v="0"/>
  </r>
  <r>
    <d v="1998-02-02T00:00:00"/>
    <n v="2"/>
    <x v="0"/>
    <x v="2"/>
    <n v="10"/>
    <n v="4000"/>
    <n v="40000"/>
    <x v="3"/>
  </r>
  <r>
    <d v="1998-02-02T00:00:00"/>
    <n v="2"/>
    <x v="0"/>
    <x v="1"/>
    <n v="6"/>
    <n v="10000"/>
    <n v="60000"/>
    <x v="0"/>
  </r>
  <r>
    <d v="1998-02-03T00:00:00"/>
    <n v="2"/>
    <x v="1"/>
    <x v="2"/>
    <n v="4"/>
    <n v="4000"/>
    <n v="16000"/>
    <x v="0"/>
  </r>
  <r>
    <d v="1998-02-03T00:00:00"/>
    <n v="2"/>
    <x v="1"/>
    <x v="4"/>
    <n v="8"/>
    <n v="2400"/>
    <n v="19200"/>
    <x v="0"/>
  </r>
  <r>
    <d v="1998-02-04T00:00:00"/>
    <n v="2"/>
    <x v="2"/>
    <x v="5"/>
    <n v="8"/>
    <n v="1900"/>
    <n v="15200"/>
    <x v="0"/>
  </r>
  <r>
    <d v="1998-02-06T00:00:00"/>
    <n v="2"/>
    <x v="4"/>
    <x v="4"/>
    <n v="6"/>
    <n v="2400"/>
    <n v="14400"/>
    <x v="0"/>
  </r>
  <r>
    <d v="1998-02-06T00:00:00"/>
    <n v="2"/>
    <x v="4"/>
    <x v="1"/>
    <n v="4"/>
    <n v="10000"/>
    <n v="40000"/>
    <x v="0"/>
  </r>
  <r>
    <d v="1998-02-06T00:00:00"/>
    <n v="2"/>
    <x v="4"/>
    <x v="3"/>
    <n v="6"/>
    <n v="19000"/>
    <n v="114000"/>
    <x v="0"/>
  </r>
  <r>
    <d v="1998-02-09T00:00:00"/>
    <n v="2"/>
    <x v="0"/>
    <x v="2"/>
    <n v="8"/>
    <n v="4000"/>
    <n v="32000"/>
    <x v="0"/>
  </r>
  <r>
    <d v="1998-02-12T00:00:00"/>
    <n v="2"/>
    <x v="3"/>
    <x v="0"/>
    <n v="2"/>
    <n v="3800"/>
    <n v="7600"/>
    <x v="0"/>
  </r>
  <r>
    <d v="1998-02-13T00:00:00"/>
    <n v="2"/>
    <x v="4"/>
    <x v="0"/>
    <n v="10"/>
    <n v="3800"/>
    <n v="38000"/>
    <x v="0"/>
  </r>
  <r>
    <d v="1998-02-13T00:00:00"/>
    <n v="2"/>
    <x v="4"/>
    <x v="3"/>
    <n v="2"/>
    <n v="19000"/>
    <n v="38000"/>
    <x v="0"/>
  </r>
  <r>
    <d v="1998-02-16T00:00:00"/>
    <n v="2"/>
    <x v="0"/>
    <x v="0"/>
    <n v="8"/>
    <n v="3800"/>
    <n v="30400"/>
    <x v="0"/>
  </r>
  <r>
    <d v="1998-02-16T00:00:00"/>
    <n v="2"/>
    <x v="0"/>
    <x v="4"/>
    <n v="8"/>
    <n v="2400"/>
    <n v="19200"/>
    <x v="0"/>
  </r>
  <r>
    <d v="1998-02-16T00:00:00"/>
    <n v="2"/>
    <x v="0"/>
    <x v="1"/>
    <n v="10"/>
    <n v="10000"/>
    <n v="100000"/>
    <x v="0"/>
  </r>
  <r>
    <d v="1998-02-18T00:00:00"/>
    <n v="2"/>
    <x v="2"/>
    <x v="2"/>
    <n v="4"/>
    <n v="4000"/>
    <n v="16000"/>
    <x v="0"/>
  </r>
  <r>
    <d v="1998-02-18T00:00:00"/>
    <n v="2"/>
    <x v="2"/>
    <x v="4"/>
    <n v="4"/>
    <n v="2400"/>
    <n v="9600"/>
    <x v="0"/>
  </r>
  <r>
    <d v="1998-02-20T00:00:00"/>
    <n v="2"/>
    <x v="4"/>
    <x v="4"/>
    <n v="6"/>
    <n v="2400"/>
    <n v="14400"/>
    <x v="3"/>
  </r>
  <r>
    <d v="1998-02-20T00:00:00"/>
    <n v="2"/>
    <x v="4"/>
    <x v="3"/>
    <n v="8"/>
    <n v="19000"/>
    <n v="152000"/>
    <x v="0"/>
  </r>
  <r>
    <d v="1998-02-20T00:00:00"/>
    <n v="2"/>
    <x v="4"/>
    <x v="3"/>
    <n v="8"/>
    <n v="19000"/>
    <n v="152000"/>
    <x v="0"/>
  </r>
  <r>
    <d v="1998-02-23T00:00:00"/>
    <n v="2"/>
    <x v="0"/>
    <x v="2"/>
    <n v="6"/>
    <n v="4000"/>
    <n v="24000"/>
    <x v="0"/>
  </r>
  <r>
    <d v="1998-02-24T00:00:00"/>
    <n v="2"/>
    <x v="1"/>
    <x v="0"/>
    <n v="4"/>
    <n v="3800"/>
    <n v="15200"/>
    <x v="2"/>
  </r>
  <r>
    <d v="1998-02-24T00:00:00"/>
    <n v="2"/>
    <x v="1"/>
    <x v="0"/>
    <n v="10"/>
    <n v="3800"/>
    <n v="38000"/>
    <x v="0"/>
  </r>
  <r>
    <d v="1998-02-26T00:00:00"/>
    <n v="2"/>
    <x v="3"/>
    <x v="0"/>
    <n v="10"/>
    <n v="3800"/>
    <n v="38000"/>
    <x v="0"/>
  </r>
  <r>
    <d v="1998-02-27T00:00:00"/>
    <n v="2"/>
    <x v="4"/>
    <x v="0"/>
    <n v="8"/>
    <n v="3800"/>
    <n v="30400"/>
    <x v="0"/>
  </r>
  <r>
    <d v="1998-02-27T00:00:00"/>
    <n v="2"/>
    <x v="4"/>
    <x v="0"/>
    <n v="2"/>
    <n v="3800"/>
    <n v="7600"/>
    <x v="0"/>
  </r>
  <r>
    <d v="1998-02-27T00:00:00"/>
    <n v="2"/>
    <x v="4"/>
    <x v="4"/>
    <n v="4"/>
    <n v="2400"/>
    <n v="9600"/>
    <x v="0"/>
  </r>
  <r>
    <d v="1998-03-06T00:00:00"/>
    <n v="3"/>
    <x v="4"/>
    <x v="2"/>
    <n v="6"/>
    <n v="4000"/>
    <n v="24000"/>
    <x v="0"/>
  </r>
  <r>
    <d v="1998-03-06T00:00:00"/>
    <n v="3"/>
    <x v="4"/>
    <x v="3"/>
    <n v="10"/>
    <n v="19000"/>
    <n v="190000"/>
    <x v="0"/>
  </r>
  <r>
    <d v="1998-03-06T00:00:00"/>
    <n v="3"/>
    <x v="4"/>
    <x v="0"/>
    <n v="10"/>
    <n v="3800"/>
    <n v="38000"/>
    <x v="0"/>
  </r>
  <r>
    <d v="1998-03-06T00:00:00"/>
    <n v="3"/>
    <x v="4"/>
    <x v="2"/>
    <n v="2"/>
    <n v="4000"/>
    <n v="8000"/>
    <x v="0"/>
  </r>
  <r>
    <d v="1998-03-06T00:00:00"/>
    <n v="3"/>
    <x v="4"/>
    <x v="1"/>
    <n v="4"/>
    <n v="10000"/>
    <n v="40000"/>
    <x v="0"/>
  </r>
  <r>
    <d v="1998-03-09T00:00:00"/>
    <n v="3"/>
    <x v="0"/>
    <x v="5"/>
    <n v="8"/>
    <n v="1900"/>
    <n v="15200"/>
    <x v="0"/>
  </r>
  <r>
    <d v="1998-03-09T00:00:00"/>
    <n v="3"/>
    <x v="0"/>
    <x v="3"/>
    <n v="8"/>
    <n v="19000"/>
    <n v="152000"/>
    <x v="0"/>
  </r>
  <r>
    <d v="1998-03-16T00:00:00"/>
    <n v="3"/>
    <x v="0"/>
    <x v="0"/>
    <n v="8"/>
    <n v="3800"/>
    <n v="30400"/>
    <x v="0"/>
  </r>
  <r>
    <d v="1998-03-17T00:00:00"/>
    <n v="3"/>
    <x v="1"/>
    <x v="2"/>
    <n v="4"/>
    <n v="4000"/>
    <n v="16000"/>
    <x v="0"/>
  </r>
  <r>
    <d v="1998-03-20T00:00:00"/>
    <n v="3"/>
    <x v="4"/>
    <x v="5"/>
    <n v="10"/>
    <n v="1900"/>
    <n v="19000"/>
    <x v="3"/>
  </r>
  <r>
    <d v="1998-03-23T00:00:00"/>
    <n v="3"/>
    <x v="0"/>
    <x v="0"/>
    <n v="10"/>
    <n v="3800"/>
    <n v="38000"/>
    <x v="1"/>
  </r>
  <r>
    <d v="1998-03-23T00:00:00"/>
    <n v="3"/>
    <x v="0"/>
    <x v="0"/>
    <n v="4"/>
    <n v="3800"/>
    <n v="15200"/>
    <x v="0"/>
  </r>
  <r>
    <d v="1998-03-25T00:00:00"/>
    <n v="3"/>
    <x v="2"/>
    <x v="5"/>
    <n v="6"/>
    <n v="1900"/>
    <n v="11400"/>
    <x v="0"/>
  </r>
  <r>
    <d v="1998-03-30T00:00:00"/>
    <n v="3"/>
    <x v="0"/>
    <x v="4"/>
    <n v="8"/>
    <n v="2400"/>
    <n v="19200"/>
    <x v="0"/>
  </r>
  <r>
    <d v="1998-04-06T00:00:00"/>
    <n v="4"/>
    <x v="0"/>
    <x v="5"/>
    <n v="4"/>
    <n v="1900"/>
    <n v="7600"/>
    <x v="0"/>
  </r>
  <r>
    <d v="1998-04-06T00:00:00"/>
    <n v="4"/>
    <x v="0"/>
    <x v="5"/>
    <n v="10"/>
    <n v="1900"/>
    <n v="19000"/>
    <x v="0"/>
  </r>
  <r>
    <d v="1998-04-07T00:00:00"/>
    <n v="4"/>
    <x v="1"/>
    <x v="0"/>
    <n v="6"/>
    <n v="3800"/>
    <n v="22800"/>
    <x v="0"/>
  </r>
  <r>
    <d v="1998-04-07T00:00:00"/>
    <n v="4"/>
    <x v="1"/>
    <x v="5"/>
    <n v="6"/>
    <n v="1900"/>
    <n v="11400"/>
    <x v="0"/>
  </r>
  <r>
    <d v="1998-04-08T00:00:00"/>
    <n v="4"/>
    <x v="2"/>
    <x v="2"/>
    <n v="4"/>
    <n v="4000"/>
    <n v="16000"/>
    <x v="0"/>
  </r>
  <r>
    <d v="1998-04-08T00:00:00"/>
    <n v="4"/>
    <x v="2"/>
    <x v="4"/>
    <n v="4"/>
    <n v="2400"/>
    <n v="9600"/>
    <x v="0"/>
  </r>
  <r>
    <d v="1998-04-08T00:00:00"/>
    <n v="4"/>
    <x v="2"/>
    <x v="1"/>
    <n v="8"/>
    <n v="10000"/>
    <n v="80000"/>
    <x v="0"/>
  </r>
  <r>
    <d v="1998-04-08T00:00:00"/>
    <n v="4"/>
    <x v="2"/>
    <x v="5"/>
    <n v="6"/>
    <n v="1900"/>
    <n v="11400"/>
    <x v="0"/>
  </r>
  <r>
    <d v="1998-04-09T00:00:00"/>
    <n v="4"/>
    <x v="3"/>
    <x v="0"/>
    <n v="2"/>
    <n v="3800"/>
    <n v="7600"/>
    <x v="0"/>
  </r>
  <r>
    <d v="1998-04-10T00:00:00"/>
    <n v="4"/>
    <x v="4"/>
    <x v="2"/>
    <n v="10"/>
    <n v="4000"/>
    <n v="40000"/>
    <x v="0"/>
  </r>
  <r>
    <d v="1998-04-10T00:00:00"/>
    <n v="4"/>
    <x v="4"/>
    <x v="4"/>
    <n v="10"/>
    <n v="2400"/>
    <n v="24000"/>
    <x v="3"/>
  </r>
  <r>
    <d v="1998-04-10T00:00:00"/>
    <n v="4"/>
    <x v="4"/>
    <x v="4"/>
    <n v="6"/>
    <n v="2400"/>
    <n v="14400"/>
    <x v="0"/>
  </r>
  <r>
    <d v="1998-04-14T00:00:00"/>
    <n v="4"/>
    <x v="1"/>
    <x v="5"/>
    <n v="10"/>
    <n v="1900"/>
    <n v="19000"/>
    <x v="0"/>
  </r>
  <r>
    <d v="1998-04-15T00:00:00"/>
    <n v="4"/>
    <x v="2"/>
    <x v="5"/>
    <n v="4"/>
    <n v="1900"/>
    <n v="7600"/>
    <x v="0"/>
  </r>
  <r>
    <d v="1998-04-16T00:00:00"/>
    <n v="4"/>
    <x v="3"/>
    <x v="0"/>
    <n v="4"/>
    <n v="3800"/>
    <n v="15200"/>
    <x v="2"/>
  </r>
  <r>
    <d v="1998-04-17T00:00:00"/>
    <n v="4"/>
    <x v="4"/>
    <x v="2"/>
    <n v="4"/>
    <n v="4000"/>
    <n v="16000"/>
    <x v="0"/>
  </r>
  <r>
    <d v="1998-04-17T00:00:00"/>
    <n v="4"/>
    <x v="4"/>
    <x v="4"/>
    <n v="2"/>
    <n v="2400"/>
    <n v="4800"/>
    <x v="0"/>
  </r>
  <r>
    <d v="1998-04-20T00:00:00"/>
    <n v="4"/>
    <x v="0"/>
    <x v="0"/>
    <n v="4"/>
    <n v="3800"/>
    <n v="15200"/>
    <x v="0"/>
  </r>
  <r>
    <d v="1998-04-20T00:00:00"/>
    <n v="4"/>
    <x v="0"/>
    <x v="2"/>
    <n v="4"/>
    <n v="4000"/>
    <n v="16000"/>
    <x v="0"/>
  </r>
  <r>
    <d v="1998-04-20T00:00:00"/>
    <n v="4"/>
    <x v="0"/>
    <x v="5"/>
    <n v="8"/>
    <n v="1900"/>
    <n v="15200"/>
    <x v="0"/>
  </r>
  <r>
    <d v="1998-04-21T00:00:00"/>
    <n v="4"/>
    <x v="1"/>
    <x v="0"/>
    <n v="2"/>
    <n v="3800"/>
    <n v="7600"/>
    <x v="0"/>
  </r>
  <r>
    <d v="1998-04-21T00:00:00"/>
    <n v="4"/>
    <x v="1"/>
    <x v="2"/>
    <n v="4"/>
    <n v="4000"/>
    <n v="16000"/>
    <x v="0"/>
  </r>
  <r>
    <d v="1998-04-23T00:00:00"/>
    <n v="4"/>
    <x v="3"/>
    <x v="0"/>
    <n v="2"/>
    <n v="3800"/>
    <n v="7600"/>
    <x v="0"/>
  </r>
  <r>
    <d v="1998-04-23T00:00:00"/>
    <n v="4"/>
    <x v="3"/>
    <x v="2"/>
    <n v="6"/>
    <n v="4000"/>
    <n v="24000"/>
    <x v="0"/>
  </r>
  <r>
    <d v="1998-04-24T00:00:00"/>
    <n v="4"/>
    <x v="4"/>
    <x v="2"/>
    <n v="6"/>
    <n v="4000"/>
    <n v="24000"/>
    <x v="0"/>
  </r>
  <r>
    <d v="1998-04-27T00:00:00"/>
    <n v="4"/>
    <x v="0"/>
    <x v="4"/>
    <n v="2"/>
    <n v="2400"/>
    <n v="4800"/>
    <x v="0"/>
  </r>
  <r>
    <d v="1998-04-27T00:00:00"/>
    <n v="4"/>
    <x v="0"/>
    <x v="5"/>
    <n v="8"/>
    <n v="1900"/>
    <n v="15200"/>
    <x v="3"/>
  </r>
  <r>
    <d v="1998-04-27T00:00:00"/>
    <n v="4"/>
    <x v="0"/>
    <x v="3"/>
    <n v="6"/>
    <n v="19000"/>
    <n v="114000"/>
    <x v="0"/>
  </r>
  <r>
    <d v="1998-04-28T00:00:00"/>
    <n v="4"/>
    <x v="1"/>
    <x v="2"/>
    <n v="2"/>
    <n v="4000"/>
    <n v="8000"/>
    <x v="0"/>
  </r>
  <r>
    <d v="1998-04-28T00:00:00"/>
    <n v="4"/>
    <x v="1"/>
    <x v="4"/>
    <n v="4"/>
    <n v="2400"/>
    <n v="9600"/>
    <x v="0"/>
  </r>
  <r>
    <d v="1998-04-29T00:00:00"/>
    <n v="4"/>
    <x v="2"/>
    <x v="1"/>
    <n v="4"/>
    <n v="10000"/>
    <n v="40000"/>
    <x v="0"/>
  </r>
  <r>
    <d v="1998-05-04T00:00:00"/>
    <n v="5"/>
    <x v="0"/>
    <x v="2"/>
    <n v="8"/>
    <n v="4000"/>
    <n v="32000"/>
    <x v="0"/>
  </r>
  <r>
    <d v="1998-05-05T00:00:00"/>
    <n v="5"/>
    <x v="1"/>
    <x v="1"/>
    <n v="4"/>
    <n v="10000"/>
    <n v="40000"/>
    <x v="0"/>
  </r>
  <r>
    <d v="1998-05-06T00:00:00"/>
    <n v="5"/>
    <x v="2"/>
    <x v="0"/>
    <n v="6"/>
    <n v="3800"/>
    <n v="22800"/>
    <x v="0"/>
  </r>
  <r>
    <d v="1998-05-08T00:00:00"/>
    <n v="5"/>
    <x v="4"/>
    <x v="0"/>
    <n v="8"/>
    <n v="3800"/>
    <n v="30400"/>
    <x v="0"/>
  </r>
  <r>
    <d v="1998-05-08T00:00:00"/>
    <n v="5"/>
    <x v="4"/>
    <x v="0"/>
    <n v="10"/>
    <n v="3800"/>
    <n v="38000"/>
    <x v="1"/>
  </r>
  <r>
    <d v="1998-05-08T00:00:00"/>
    <n v="5"/>
    <x v="4"/>
    <x v="2"/>
    <n v="6"/>
    <n v="4000"/>
    <n v="24000"/>
    <x v="0"/>
  </r>
  <r>
    <d v="1998-05-08T00:00:00"/>
    <n v="5"/>
    <x v="4"/>
    <x v="2"/>
    <n v="10"/>
    <n v="4000"/>
    <n v="40000"/>
    <x v="1"/>
  </r>
  <r>
    <d v="1998-05-08T00:00:00"/>
    <n v="5"/>
    <x v="4"/>
    <x v="5"/>
    <n v="10"/>
    <n v="1900"/>
    <n v="19000"/>
    <x v="0"/>
  </r>
  <r>
    <d v="1998-05-11T00:00:00"/>
    <n v="5"/>
    <x v="0"/>
    <x v="0"/>
    <n v="8"/>
    <n v="3800"/>
    <n v="30400"/>
    <x v="0"/>
  </r>
  <r>
    <d v="1998-05-12T00:00:00"/>
    <n v="5"/>
    <x v="1"/>
    <x v="2"/>
    <n v="2"/>
    <n v="4000"/>
    <n v="8000"/>
    <x v="0"/>
  </r>
  <r>
    <d v="1998-05-12T00:00:00"/>
    <n v="5"/>
    <x v="1"/>
    <x v="4"/>
    <n v="4"/>
    <n v="2400"/>
    <n v="9600"/>
    <x v="0"/>
  </r>
  <r>
    <d v="1998-05-14T00:00:00"/>
    <n v="5"/>
    <x v="3"/>
    <x v="1"/>
    <n v="2"/>
    <n v="10000"/>
    <n v="20000"/>
    <x v="0"/>
  </r>
  <r>
    <d v="1998-05-14T00:00:00"/>
    <n v="5"/>
    <x v="3"/>
    <x v="3"/>
    <n v="4"/>
    <n v="19000"/>
    <n v="76000"/>
    <x v="0"/>
  </r>
  <r>
    <d v="1998-05-14T00:00:00"/>
    <n v="5"/>
    <x v="3"/>
    <x v="3"/>
    <n v="10"/>
    <n v="19000"/>
    <n v="190000"/>
    <x v="0"/>
  </r>
  <r>
    <d v="1998-05-15T00:00:00"/>
    <n v="5"/>
    <x v="4"/>
    <x v="0"/>
    <n v="10"/>
    <n v="3800"/>
    <n v="38000"/>
    <x v="0"/>
  </r>
  <r>
    <d v="1998-05-15T00:00:00"/>
    <n v="5"/>
    <x v="4"/>
    <x v="5"/>
    <n v="2"/>
    <n v="1900"/>
    <n v="3800"/>
    <x v="0"/>
  </r>
  <r>
    <d v="1998-05-18T00:00:00"/>
    <n v="5"/>
    <x v="0"/>
    <x v="0"/>
    <n v="8"/>
    <n v="3800"/>
    <n v="30400"/>
    <x v="2"/>
  </r>
  <r>
    <d v="1998-05-18T00:00:00"/>
    <n v="5"/>
    <x v="0"/>
    <x v="0"/>
    <n v="6"/>
    <n v="3800"/>
    <n v="22800"/>
    <x v="0"/>
  </r>
  <r>
    <d v="1998-05-18T00:00:00"/>
    <n v="5"/>
    <x v="0"/>
    <x v="4"/>
    <n v="4"/>
    <n v="2400"/>
    <n v="9600"/>
    <x v="2"/>
  </r>
  <r>
    <d v="1998-05-18T00:00:00"/>
    <n v="5"/>
    <x v="0"/>
    <x v="3"/>
    <n v="8"/>
    <n v="19000"/>
    <n v="152000"/>
    <x v="2"/>
  </r>
  <r>
    <d v="1998-05-18T00:00:00"/>
    <n v="5"/>
    <x v="0"/>
    <x v="3"/>
    <n v="8"/>
    <n v="19000"/>
    <n v="152000"/>
    <x v="0"/>
  </r>
  <r>
    <d v="1998-05-19T00:00:00"/>
    <n v="5"/>
    <x v="1"/>
    <x v="5"/>
    <n v="4"/>
    <n v="1900"/>
    <n v="7600"/>
    <x v="0"/>
  </r>
  <r>
    <d v="1998-05-20T00:00:00"/>
    <n v="5"/>
    <x v="2"/>
    <x v="4"/>
    <n v="4"/>
    <n v="2400"/>
    <n v="9600"/>
    <x v="0"/>
  </r>
  <r>
    <d v="1998-05-20T00:00:00"/>
    <n v="5"/>
    <x v="2"/>
    <x v="5"/>
    <n v="4"/>
    <n v="1900"/>
    <n v="7600"/>
    <x v="0"/>
  </r>
  <r>
    <d v="1998-05-21T00:00:00"/>
    <n v="5"/>
    <x v="3"/>
    <x v="0"/>
    <n v="4"/>
    <n v="3800"/>
    <n v="15200"/>
    <x v="0"/>
  </r>
  <r>
    <d v="1998-05-21T00:00:00"/>
    <n v="5"/>
    <x v="3"/>
    <x v="4"/>
    <n v="2"/>
    <n v="2400"/>
    <n v="4800"/>
    <x v="0"/>
  </r>
  <r>
    <d v="1998-05-21T00:00:00"/>
    <n v="5"/>
    <x v="3"/>
    <x v="1"/>
    <n v="4"/>
    <n v="10000"/>
    <n v="40000"/>
    <x v="0"/>
  </r>
  <r>
    <d v="1998-05-22T00:00:00"/>
    <n v="5"/>
    <x v="4"/>
    <x v="2"/>
    <n v="2"/>
    <n v="4000"/>
    <n v="8000"/>
    <x v="0"/>
  </r>
  <r>
    <d v="1998-05-22T00:00:00"/>
    <n v="5"/>
    <x v="4"/>
    <x v="2"/>
    <n v="4"/>
    <n v="4000"/>
    <n v="16000"/>
    <x v="0"/>
  </r>
  <r>
    <d v="1998-05-22T00:00:00"/>
    <n v="5"/>
    <x v="4"/>
    <x v="3"/>
    <n v="2"/>
    <n v="19000"/>
    <n v="38000"/>
    <x v="0"/>
  </r>
  <r>
    <d v="1998-05-25T00:00:00"/>
    <n v="5"/>
    <x v="0"/>
    <x v="0"/>
    <n v="4"/>
    <n v="3800"/>
    <n v="15200"/>
    <x v="1"/>
  </r>
  <r>
    <d v="1998-05-25T00:00:00"/>
    <n v="5"/>
    <x v="0"/>
    <x v="0"/>
    <n v="6"/>
    <n v="3800"/>
    <n v="22800"/>
    <x v="0"/>
  </r>
  <r>
    <d v="1998-05-25T00:00:00"/>
    <n v="5"/>
    <x v="0"/>
    <x v="2"/>
    <n v="10"/>
    <n v="4000"/>
    <n v="40000"/>
    <x v="1"/>
  </r>
  <r>
    <d v="1998-05-25T00:00:00"/>
    <n v="5"/>
    <x v="0"/>
    <x v="4"/>
    <n v="8"/>
    <n v="2400"/>
    <n v="19200"/>
    <x v="0"/>
  </r>
  <r>
    <d v="1998-05-25T00:00:00"/>
    <n v="5"/>
    <x v="0"/>
    <x v="4"/>
    <n v="2"/>
    <n v="2400"/>
    <n v="4800"/>
    <x v="0"/>
  </r>
  <r>
    <d v="1998-05-28T00:00:00"/>
    <n v="5"/>
    <x v="3"/>
    <x v="0"/>
    <n v="4"/>
    <n v="3800"/>
    <n v="15200"/>
    <x v="0"/>
  </r>
  <r>
    <d v="1998-05-29T00:00:00"/>
    <n v="5"/>
    <x v="4"/>
    <x v="0"/>
    <n v="2"/>
    <n v="3800"/>
    <n v="7600"/>
    <x v="0"/>
  </r>
  <r>
    <d v="1998-05-29T00:00:00"/>
    <n v="5"/>
    <x v="4"/>
    <x v="2"/>
    <n v="2"/>
    <n v="4000"/>
    <n v="8000"/>
    <x v="0"/>
  </r>
  <r>
    <d v="1998-05-29T00:00:00"/>
    <n v="5"/>
    <x v="4"/>
    <x v="5"/>
    <n v="10"/>
    <n v="1900"/>
    <n v="19000"/>
    <x v="0"/>
  </r>
  <r>
    <d v="1998-06-03T00:00:00"/>
    <n v="6"/>
    <x v="2"/>
    <x v="2"/>
    <n v="6"/>
    <n v="4000"/>
    <n v="24000"/>
    <x v="0"/>
  </r>
  <r>
    <d v="1998-06-05T00:00:00"/>
    <n v="6"/>
    <x v="4"/>
    <x v="5"/>
    <n v="10"/>
    <n v="1900"/>
    <n v="19000"/>
    <x v="0"/>
  </r>
  <r>
    <d v="1998-06-05T00:00:00"/>
    <n v="6"/>
    <x v="4"/>
    <x v="5"/>
    <n v="4"/>
    <n v="1900"/>
    <n v="7600"/>
    <x v="0"/>
  </r>
  <r>
    <d v="1998-06-08T00:00:00"/>
    <n v="6"/>
    <x v="0"/>
    <x v="0"/>
    <n v="6"/>
    <n v="3800"/>
    <n v="22800"/>
    <x v="0"/>
  </r>
  <r>
    <d v="1998-06-08T00:00:00"/>
    <n v="6"/>
    <x v="0"/>
    <x v="3"/>
    <n v="4"/>
    <n v="19000"/>
    <n v="76000"/>
    <x v="0"/>
  </r>
  <r>
    <d v="1998-06-08T00:00:00"/>
    <n v="6"/>
    <x v="0"/>
    <x v="2"/>
    <n v="10"/>
    <n v="4000"/>
    <n v="40000"/>
    <x v="0"/>
  </r>
  <r>
    <d v="1998-06-08T00:00:00"/>
    <n v="6"/>
    <x v="0"/>
    <x v="5"/>
    <n v="10"/>
    <n v="1900"/>
    <n v="19000"/>
    <x v="0"/>
  </r>
  <r>
    <d v="1998-06-10T00:00:00"/>
    <n v="6"/>
    <x v="2"/>
    <x v="0"/>
    <n v="4"/>
    <n v="3800"/>
    <n v="15200"/>
    <x v="2"/>
  </r>
  <r>
    <d v="1998-06-10T00:00:00"/>
    <n v="6"/>
    <x v="2"/>
    <x v="2"/>
    <n v="8"/>
    <n v="4000"/>
    <n v="32000"/>
    <x v="2"/>
  </r>
  <r>
    <d v="1998-06-10T00:00:00"/>
    <n v="6"/>
    <x v="2"/>
    <x v="3"/>
    <n v="10"/>
    <n v="19000"/>
    <n v="190000"/>
    <x v="2"/>
  </r>
  <r>
    <d v="1998-06-15T00:00:00"/>
    <n v="6"/>
    <x v="0"/>
    <x v="5"/>
    <n v="10"/>
    <n v="1900"/>
    <n v="19000"/>
    <x v="0"/>
  </r>
  <r>
    <d v="1998-06-16T00:00:00"/>
    <n v="6"/>
    <x v="1"/>
    <x v="2"/>
    <n v="2"/>
    <n v="4000"/>
    <n v="8000"/>
    <x v="0"/>
  </r>
  <r>
    <d v="1998-06-17T00:00:00"/>
    <n v="6"/>
    <x v="2"/>
    <x v="0"/>
    <n v="10"/>
    <n v="3800"/>
    <n v="38000"/>
    <x v="0"/>
  </r>
  <r>
    <d v="1998-06-18T00:00:00"/>
    <n v="6"/>
    <x v="3"/>
    <x v="5"/>
    <n v="8"/>
    <n v="1900"/>
    <n v="15200"/>
    <x v="0"/>
  </r>
  <r>
    <d v="1998-06-19T00:00:00"/>
    <n v="6"/>
    <x v="4"/>
    <x v="5"/>
    <n v="2"/>
    <n v="1900"/>
    <n v="3800"/>
    <x v="0"/>
  </r>
  <r>
    <d v="1998-06-22T00:00:00"/>
    <n v="6"/>
    <x v="0"/>
    <x v="0"/>
    <n v="6"/>
    <n v="3800"/>
    <n v="22800"/>
    <x v="0"/>
  </r>
  <r>
    <d v="1998-06-22T00:00:00"/>
    <n v="6"/>
    <x v="0"/>
    <x v="5"/>
    <n v="8"/>
    <n v="1900"/>
    <n v="15200"/>
    <x v="0"/>
  </r>
  <r>
    <d v="1998-06-22T00:00:00"/>
    <n v="6"/>
    <x v="0"/>
    <x v="3"/>
    <n v="6"/>
    <n v="19000"/>
    <n v="114000"/>
    <x v="0"/>
  </r>
  <r>
    <d v="1998-06-23T00:00:00"/>
    <n v="6"/>
    <x v="1"/>
    <x v="0"/>
    <n v="10"/>
    <n v="3800"/>
    <n v="38000"/>
    <x v="2"/>
  </r>
  <r>
    <d v="1998-06-24T00:00:00"/>
    <n v="6"/>
    <x v="2"/>
    <x v="0"/>
    <n v="8"/>
    <n v="3800"/>
    <n v="30400"/>
    <x v="0"/>
  </r>
  <r>
    <d v="1998-06-24T00:00:00"/>
    <n v="6"/>
    <x v="2"/>
    <x v="2"/>
    <n v="6"/>
    <n v="4000"/>
    <n v="24000"/>
    <x v="0"/>
  </r>
  <r>
    <d v="1998-06-24T00:00:00"/>
    <n v="6"/>
    <x v="2"/>
    <x v="5"/>
    <n v="10"/>
    <n v="1900"/>
    <n v="19000"/>
    <x v="0"/>
  </r>
  <r>
    <d v="1998-06-25T00:00:00"/>
    <n v="6"/>
    <x v="3"/>
    <x v="0"/>
    <n v="6"/>
    <n v="3800"/>
    <n v="22800"/>
    <x v="2"/>
  </r>
  <r>
    <d v="1998-06-26T00:00:00"/>
    <n v="6"/>
    <x v="4"/>
    <x v="1"/>
    <n v="8"/>
    <n v="10000"/>
    <n v="80000"/>
    <x v="0"/>
  </r>
  <r>
    <d v="1998-06-26T00:00:00"/>
    <n v="6"/>
    <x v="4"/>
    <x v="3"/>
    <n v="4"/>
    <n v="19000"/>
    <n v="76000"/>
    <x v="0"/>
  </r>
  <r>
    <d v="1998-06-29T00:00:00"/>
    <n v="6"/>
    <x v="0"/>
    <x v="0"/>
    <n v="8"/>
    <n v="3800"/>
    <n v="30400"/>
    <x v="0"/>
  </r>
  <r>
    <d v="1998-06-29T00:00:00"/>
    <n v="6"/>
    <x v="0"/>
    <x v="2"/>
    <n v="4"/>
    <n v="4000"/>
    <n v="16000"/>
    <x v="0"/>
  </r>
  <r>
    <d v="1998-06-29T00:00:00"/>
    <n v="6"/>
    <x v="0"/>
    <x v="5"/>
    <n v="8"/>
    <n v="1900"/>
    <n v="15200"/>
    <x v="0"/>
  </r>
  <r>
    <d v="1998-06-30T00:00:00"/>
    <n v="6"/>
    <x v="1"/>
    <x v="0"/>
    <n v="10"/>
    <n v="3800"/>
    <n v="38000"/>
    <x v="0"/>
  </r>
  <r>
    <d v="1998-06-30T00:00:00"/>
    <n v="6"/>
    <x v="1"/>
    <x v="2"/>
    <n v="6"/>
    <n v="4000"/>
    <n v="24000"/>
    <x v="0"/>
  </r>
  <r>
    <d v="1998-06-30T00:00:00"/>
    <n v="6"/>
    <x v="1"/>
    <x v="5"/>
    <n v="8"/>
    <n v="1900"/>
    <n v="152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1" cacheId="0" dataOnRows="1" applyNumberFormats="0" applyBorderFormats="0" applyFontFormats="0" applyPatternFormats="0" applyAlignmentFormats="0" applyWidthHeightFormats="1" dataCaption="Data" updatedVersion="4" minRefreshableVersion="3" asteriskTotals="1" showMultipleLabel="0" showMemberPropertyTips="0" useAutoFormatting="1" itemPrintTitles="1" createdVersion="4" indent="0" compact="0" compactData="0" gridDropZones="1">
  <location ref="A3:H10" firstHeaderRow="1" firstDataRow="2" firstDataCol="1" rowPageCount="1" colPageCount="1"/>
  <pivotFields count="8">
    <pivotField compact="0" numFmtId="14" outline="0" subtotalTop="0" showAll="0" includeNewItemsInFilter="1"/>
    <pivotField compact="0" outline="0" subtotalTop="0" showAll="0" includeNewItemsInFilter="1"/>
    <pivotField axis="axisRow" compact="0" outline="0" showAll="0" defaultSubtotal="0">
      <items count="5">
        <item x="0"/>
        <item x="1"/>
        <item x="2"/>
        <item x="3"/>
        <item x="4"/>
      </items>
    </pivotField>
    <pivotField axis="axisCol" compact="0" outline="0" subtotalTop="0" showAll="0" includeNewItemsInFilter="1">
      <items count="7">
        <item x="0"/>
        <item x="2"/>
        <item x="4"/>
        <item x="1"/>
        <item x="5"/>
        <item x="3"/>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axis="axisPage" compact="0" outline="0" subtotalTop="0" showAll="0" includeNewItemsInFilter="1">
      <items count="5">
        <item x="1"/>
        <item x="2"/>
        <item x="3"/>
        <item x="0"/>
        <item t="default"/>
      </items>
    </pivotField>
  </pivotFields>
  <rowFields count="1">
    <field x="2"/>
  </rowFields>
  <rowItems count="6">
    <i>
      <x/>
    </i>
    <i>
      <x v="1"/>
    </i>
    <i>
      <x v="2"/>
    </i>
    <i>
      <x v="3"/>
    </i>
    <i>
      <x v="4"/>
    </i>
    <i t="grand">
      <x/>
    </i>
  </rowItems>
  <colFields count="1">
    <field x="3"/>
  </colFields>
  <colItems count="7">
    <i>
      <x/>
    </i>
    <i>
      <x v="1"/>
    </i>
    <i>
      <x v="2"/>
    </i>
    <i>
      <x v="3"/>
    </i>
    <i>
      <x v="4"/>
    </i>
    <i>
      <x v="5"/>
    </i>
    <i t="grand">
      <x/>
    </i>
  </colItems>
  <pageFields count="1">
    <pageField fld="7" hier="0"/>
  </pageFields>
  <dataFields count="1">
    <dataField name="Součet z Tržba" fld="6" baseField="0" baseItem="0"/>
  </dataFields>
  <pivotTableStyleInfo showRowHeaders="1" showColHeaders="1" showRowStripes="0" showColStripes="0" showLastColumn="1"/>
</pivotTableDefinition>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office.microsoft.com/en-us/excel/HA011098011033.aspx" TargetMode="External"/><Relationship Id="rId1" Type="http://schemas.openxmlformats.org/officeDocument/2006/relationships/hyperlink" Target="http://pubs.logicalexpressions.com/pub0009/LPMArticle.asp?ID=518" TargetMode="External"/><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ted.com/index.php/talks/hans_rosling_shows_the_best_stats_you_ve_ever_seen.html"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office.microsoft.com/cs-cz/excel-help/ukoncene-a-zmenene-funkce-v-aplikaci-excel-2010-HA101811053.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heetViews>
  <sheetFormatPr defaultRowHeight="12.75" x14ac:dyDescent="0.2"/>
  <cols>
    <col min="4" max="4" width="12.42578125" bestFit="1" customWidth="1"/>
    <col min="5" max="5" width="9.28515625" bestFit="1" customWidth="1"/>
    <col min="6" max="6" width="12.42578125" bestFit="1" customWidth="1"/>
    <col min="7" max="7" width="9.28515625" bestFit="1" customWidth="1"/>
    <col min="8" max="8" width="12.42578125" bestFit="1" customWidth="1"/>
    <col min="10" max="10" width="11" bestFit="1" customWidth="1"/>
    <col min="11" max="14" width="9.28515625" bestFit="1" customWidth="1"/>
  </cols>
  <sheetData>
    <row r="1" spans="1:14" ht="14.25" x14ac:dyDescent="0.2">
      <c r="A1" s="15" t="s">
        <v>85</v>
      </c>
      <c r="B1" s="15" t="s">
        <v>86</v>
      </c>
      <c r="D1" s="15" t="s">
        <v>86</v>
      </c>
      <c r="E1" s="15" t="s">
        <v>85</v>
      </c>
      <c r="F1" s="15" t="s">
        <v>116</v>
      </c>
      <c r="G1" s="15" t="s">
        <v>117</v>
      </c>
      <c r="H1" s="15" t="s">
        <v>118</v>
      </c>
      <c r="J1" s="15" t="s">
        <v>22</v>
      </c>
      <c r="K1" s="15" t="s">
        <v>23</v>
      </c>
      <c r="L1" s="15" t="s">
        <v>24</v>
      </c>
      <c r="M1" s="15" t="s">
        <v>25</v>
      </c>
      <c r="N1" s="15" t="s">
        <v>86</v>
      </c>
    </row>
    <row r="2" spans="1:14" x14ac:dyDescent="0.2">
      <c r="A2">
        <v>1</v>
      </c>
      <c r="B2">
        <v>7</v>
      </c>
      <c r="D2">
        <v>7</v>
      </c>
      <c r="E2">
        <v>1</v>
      </c>
      <c r="F2">
        <f>$E2^2</f>
        <v>1</v>
      </c>
      <c r="G2">
        <f>$E2^3</f>
        <v>1</v>
      </c>
      <c r="H2">
        <f>$E2^4</f>
        <v>1</v>
      </c>
      <c r="J2" s="15" t="s">
        <v>119</v>
      </c>
      <c r="K2" s="15" t="s">
        <v>120</v>
      </c>
      <c r="L2" s="15" t="s">
        <v>121</v>
      </c>
      <c r="M2" s="15" t="s">
        <v>122</v>
      </c>
      <c r="N2" s="15" t="s">
        <v>123</v>
      </c>
    </row>
    <row r="3" spans="1:14" x14ac:dyDescent="0.2">
      <c r="A3">
        <v>2</v>
      </c>
      <c r="B3">
        <v>14</v>
      </c>
      <c r="D3">
        <v>14</v>
      </c>
      <c r="E3">
        <v>2</v>
      </c>
      <c r="F3">
        <f t="shared" ref="F3:F12" si="0">$E3^2</f>
        <v>4</v>
      </c>
      <c r="G3">
        <f t="shared" ref="G3:G12" si="1">$E3^3</f>
        <v>8</v>
      </c>
      <c r="H3">
        <f t="shared" ref="H3:H12" si="2">$E3^4</f>
        <v>16</v>
      </c>
      <c r="J3" s="37">
        <v>2310</v>
      </c>
      <c r="K3" s="37">
        <v>2</v>
      </c>
      <c r="L3" s="37">
        <v>2</v>
      </c>
      <c r="M3" s="37">
        <v>20</v>
      </c>
      <c r="N3" s="37">
        <v>142000</v>
      </c>
    </row>
    <row r="4" spans="1:14" x14ac:dyDescent="0.2">
      <c r="A4">
        <v>3</v>
      </c>
      <c r="B4">
        <v>21</v>
      </c>
      <c r="D4">
        <v>21</v>
      </c>
      <c r="E4">
        <v>3</v>
      </c>
      <c r="F4">
        <f t="shared" si="0"/>
        <v>9</v>
      </c>
      <c r="G4">
        <f t="shared" si="1"/>
        <v>27</v>
      </c>
      <c r="H4">
        <f t="shared" si="2"/>
        <v>81</v>
      </c>
      <c r="J4" s="37">
        <v>2333</v>
      </c>
      <c r="K4" s="37">
        <v>2</v>
      </c>
      <c r="L4" s="37">
        <v>2</v>
      </c>
      <c r="M4" s="37">
        <v>12</v>
      </c>
      <c r="N4" s="37">
        <v>144000</v>
      </c>
    </row>
    <row r="5" spans="1:14" x14ac:dyDescent="0.2">
      <c r="A5">
        <v>4</v>
      </c>
      <c r="B5">
        <v>28</v>
      </c>
      <c r="D5">
        <v>28</v>
      </c>
      <c r="E5">
        <v>4</v>
      </c>
      <c r="F5">
        <f t="shared" si="0"/>
        <v>16</v>
      </c>
      <c r="G5">
        <f t="shared" si="1"/>
        <v>64</v>
      </c>
      <c r="H5">
        <f t="shared" si="2"/>
        <v>256</v>
      </c>
      <c r="J5" s="37">
        <v>2356</v>
      </c>
      <c r="K5" s="37">
        <v>3</v>
      </c>
      <c r="L5" s="37">
        <v>1.5</v>
      </c>
      <c r="M5" s="37">
        <v>33</v>
      </c>
      <c r="N5" s="37">
        <v>151000</v>
      </c>
    </row>
    <row r="6" spans="1:14" ht="13.5" thickBot="1" x14ac:dyDescent="0.25">
      <c r="A6">
        <v>5</v>
      </c>
      <c r="B6">
        <v>35</v>
      </c>
      <c r="D6">
        <v>35</v>
      </c>
      <c r="E6">
        <v>5</v>
      </c>
      <c r="F6">
        <f t="shared" si="0"/>
        <v>25</v>
      </c>
      <c r="G6">
        <f t="shared" si="1"/>
        <v>125</v>
      </c>
      <c r="H6">
        <f t="shared" si="2"/>
        <v>625</v>
      </c>
      <c r="J6" s="37">
        <v>2379</v>
      </c>
      <c r="K6" s="37">
        <v>3</v>
      </c>
      <c r="L6" s="37">
        <v>2</v>
      </c>
      <c r="M6" s="37">
        <v>43</v>
      </c>
      <c r="N6" s="37">
        <v>150000</v>
      </c>
    </row>
    <row r="7" spans="1:14" ht="13.5" thickTop="1" x14ac:dyDescent="0.2">
      <c r="A7">
        <v>6</v>
      </c>
      <c r="B7">
        <v>42</v>
      </c>
      <c r="D7" s="38">
        <f t="array" ref="D7:D12">TREND(D2:D6,E2:H6,E7:H12,1)</f>
        <v>42.000000000000014</v>
      </c>
      <c r="E7">
        <v>6</v>
      </c>
      <c r="F7">
        <f t="shared" si="0"/>
        <v>36</v>
      </c>
      <c r="G7">
        <f t="shared" si="1"/>
        <v>216</v>
      </c>
      <c r="H7">
        <f t="shared" si="2"/>
        <v>1296</v>
      </c>
      <c r="J7" s="37">
        <v>2402</v>
      </c>
      <c r="K7" s="37">
        <v>2</v>
      </c>
      <c r="L7" s="37">
        <v>3</v>
      </c>
      <c r="M7" s="37">
        <v>53</v>
      </c>
      <c r="N7" s="37">
        <v>139000</v>
      </c>
    </row>
    <row r="8" spans="1:14" x14ac:dyDescent="0.2">
      <c r="A8">
        <v>7</v>
      </c>
      <c r="B8">
        <v>49</v>
      </c>
      <c r="D8" s="39">
        <v>49.000000000000071</v>
      </c>
      <c r="E8">
        <v>7</v>
      </c>
      <c r="F8">
        <f t="shared" si="0"/>
        <v>49</v>
      </c>
      <c r="G8">
        <f t="shared" si="1"/>
        <v>343</v>
      </c>
      <c r="H8">
        <f t="shared" si="2"/>
        <v>2401</v>
      </c>
      <c r="J8" s="37">
        <v>2425</v>
      </c>
      <c r="K8" s="37">
        <v>4</v>
      </c>
      <c r="L8" s="37">
        <v>2</v>
      </c>
      <c r="M8" s="37">
        <v>23</v>
      </c>
      <c r="N8" s="37">
        <v>169000</v>
      </c>
    </row>
    <row r="9" spans="1:14" x14ac:dyDescent="0.2">
      <c r="A9">
        <v>8</v>
      </c>
      <c r="B9">
        <v>56</v>
      </c>
      <c r="D9" s="39">
        <v>56.000000000000213</v>
      </c>
      <c r="E9">
        <v>8</v>
      </c>
      <c r="F9">
        <f t="shared" si="0"/>
        <v>64</v>
      </c>
      <c r="G9">
        <f t="shared" si="1"/>
        <v>512</v>
      </c>
      <c r="H9">
        <f t="shared" si="2"/>
        <v>4096</v>
      </c>
      <c r="J9" s="37">
        <v>2448</v>
      </c>
      <c r="K9" s="37">
        <v>2</v>
      </c>
      <c r="L9" s="37">
        <v>1.5</v>
      </c>
      <c r="M9" s="37">
        <v>99</v>
      </c>
      <c r="N9" s="37">
        <v>126000</v>
      </c>
    </row>
    <row r="10" spans="1:14" x14ac:dyDescent="0.2">
      <c r="A10">
        <v>9</v>
      </c>
      <c r="B10">
        <v>63</v>
      </c>
      <c r="D10" s="39">
        <v>63.000000000000476</v>
      </c>
      <c r="E10">
        <v>9</v>
      </c>
      <c r="F10">
        <f t="shared" si="0"/>
        <v>81</v>
      </c>
      <c r="G10">
        <f t="shared" si="1"/>
        <v>729</v>
      </c>
      <c r="H10">
        <f t="shared" si="2"/>
        <v>6561</v>
      </c>
      <c r="J10" s="37">
        <v>2471</v>
      </c>
      <c r="K10" s="37">
        <v>2</v>
      </c>
      <c r="L10" s="37">
        <v>2</v>
      </c>
      <c r="M10" s="37">
        <v>34</v>
      </c>
      <c r="N10" s="37">
        <v>142900</v>
      </c>
    </row>
    <row r="11" spans="1:14" ht="13.5" thickBot="1" x14ac:dyDescent="0.25">
      <c r="A11">
        <v>10</v>
      </c>
      <c r="B11">
        <v>70</v>
      </c>
      <c r="D11" s="39">
        <v>70.000000000000924</v>
      </c>
      <c r="E11">
        <v>10</v>
      </c>
      <c r="F11">
        <f t="shared" si="0"/>
        <v>100</v>
      </c>
      <c r="G11">
        <f t="shared" si="1"/>
        <v>1000</v>
      </c>
      <c r="H11">
        <f t="shared" si="2"/>
        <v>10000</v>
      </c>
      <c r="J11" s="37">
        <v>2494</v>
      </c>
      <c r="K11" s="37">
        <v>3</v>
      </c>
      <c r="L11" s="37">
        <v>3</v>
      </c>
      <c r="M11" s="37">
        <v>23</v>
      </c>
      <c r="N11" s="37">
        <v>163000</v>
      </c>
    </row>
    <row r="12" spans="1:14" ht="14.25" thickTop="1" thickBot="1" x14ac:dyDescent="0.25">
      <c r="A12">
        <v>11</v>
      </c>
      <c r="B12" s="41">
        <f>FORECAST(A12,B2:B11,A2:A11)</f>
        <v>77</v>
      </c>
      <c r="D12" s="40">
        <v>77.000000000001648</v>
      </c>
      <c r="E12">
        <v>11</v>
      </c>
      <c r="F12">
        <f t="shared" si="0"/>
        <v>121</v>
      </c>
      <c r="G12">
        <f t="shared" si="1"/>
        <v>1331</v>
      </c>
      <c r="H12">
        <f t="shared" si="2"/>
        <v>14641</v>
      </c>
      <c r="J12" s="37">
        <v>2517</v>
      </c>
      <c r="K12" s="37">
        <v>4</v>
      </c>
      <c r="L12" s="37">
        <v>4</v>
      </c>
      <c r="M12" s="37">
        <v>55</v>
      </c>
      <c r="N12" s="37">
        <v>169000</v>
      </c>
    </row>
    <row r="13" spans="1:14" ht="13.5" thickTop="1" x14ac:dyDescent="0.2">
      <c r="J13" s="37">
        <v>2540</v>
      </c>
      <c r="K13" s="37">
        <v>2</v>
      </c>
      <c r="L13" s="37">
        <v>3</v>
      </c>
      <c r="M13" s="37">
        <v>22</v>
      </c>
      <c r="N13" s="37">
        <v>149000</v>
      </c>
    </row>
    <row r="15" spans="1:14" x14ac:dyDescent="0.2">
      <c r="D15">
        <f t="array" ref="D15:H19">LINEST(D2:D12,E2:H12,1,1)</f>
        <v>4.8572722631735621E-16</v>
      </c>
      <c r="E15">
        <v>-6.2678302483874593E-15</v>
      </c>
      <c r="F15">
        <v>2.817891938022129E-14</v>
      </c>
      <c r="G15">
        <v>6.9999999999999485</v>
      </c>
      <c r="H15">
        <v>3.176449918766828E-14</v>
      </c>
      <c r="J15">
        <f t="array" ref="J15:N19">LINEST(N3:N13,J3:M13,1,1)</f>
        <v>-234.23716447120248</v>
      </c>
      <c r="K15">
        <v>2553.2106603915386</v>
      </c>
      <c r="L15">
        <v>12529.76816708675</v>
      </c>
      <c r="M15">
        <v>27.641387366020282</v>
      </c>
      <c r="N15">
        <v>52317.83050729135</v>
      </c>
    </row>
    <row r="16" spans="1:14" x14ac:dyDescent="0.2">
      <c r="D16">
        <v>2.3298351329765475E-17</v>
      </c>
      <c r="E16">
        <v>5.6238700475434743E-16</v>
      </c>
      <c r="F16">
        <v>4.5826737736167672E-15</v>
      </c>
      <c r="G16">
        <v>1.4354935906362897E-14</v>
      </c>
      <c r="H16">
        <v>1.3747843646185307E-14</v>
      </c>
      <c r="J16">
        <v>13.26801147550036</v>
      </c>
      <c r="K16">
        <v>530.66915193037812</v>
      </c>
      <c r="L16">
        <v>400.06683819395295</v>
      </c>
      <c r="M16">
        <v>5.429374041545314</v>
      </c>
      <c r="N16">
        <v>12237.361602862349</v>
      </c>
    </row>
    <row r="17" spans="1:14" x14ac:dyDescent="0.2">
      <c r="D17">
        <v>1</v>
      </c>
      <c r="E17">
        <v>4.7281304747474624E-15</v>
      </c>
      <c r="F17" t="e">
        <v>#N/A</v>
      </c>
      <c r="G17" t="e">
        <v>#N/A</v>
      </c>
      <c r="H17" t="e">
        <v>#N/A</v>
      </c>
      <c r="J17">
        <v>0.99674799338451003</v>
      </c>
      <c r="K17">
        <v>970.57846292850593</v>
      </c>
      <c r="L17" t="e">
        <v>#N/A</v>
      </c>
      <c r="M17" t="e">
        <v>#N/A</v>
      </c>
      <c r="N17" t="e">
        <v>#N/A</v>
      </c>
    </row>
    <row r="18" spans="1:14" x14ac:dyDescent="0.2">
      <c r="D18">
        <v>6.0276755649847352E+31</v>
      </c>
      <c r="E18">
        <v>6</v>
      </c>
      <c r="F18" t="e">
        <v>#N/A</v>
      </c>
      <c r="G18" t="e">
        <v>#N/A</v>
      </c>
      <c r="H18" t="e">
        <v>#N/A</v>
      </c>
      <c r="J18">
        <v>459.75367422539273</v>
      </c>
      <c r="K18">
        <v>6</v>
      </c>
      <c r="L18" t="e">
        <v>#N/A</v>
      </c>
      <c r="M18" t="e">
        <v>#N/A</v>
      </c>
      <c r="N18" t="e">
        <v>#N/A</v>
      </c>
    </row>
    <row r="19" spans="1:14" x14ac:dyDescent="0.2">
      <c r="D19">
        <v>5390.0000000001937</v>
      </c>
      <c r="E19">
        <v>1.3413130671741397E-28</v>
      </c>
      <c r="F19" t="e">
        <v>#N/A</v>
      </c>
      <c r="G19" t="e">
        <v>#N/A</v>
      </c>
      <c r="H19" t="e">
        <v>#N/A</v>
      </c>
      <c r="J19">
        <v>1732393319.2292504</v>
      </c>
      <c r="K19">
        <v>5652135.3162039667</v>
      </c>
      <c r="L19" t="e">
        <v>#N/A</v>
      </c>
      <c r="M19" t="e">
        <v>#N/A</v>
      </c>
      <c r="N19" t="e">
        <v>#N/A</v>
      </c>
    </row>
    <row r="21" spans="1:14" x14ac:dyDescent="0.2">
      <c r="A21" t="s">
        <v>124</v>
      </c>
      <c r="K21">
        <f>INDEX(LINEST(N3:N13,J3:M13,1,1),4,2)</f>
        <v>6</v>
      </c>
      <c r="L21" t="s">
        <v>125</v>
      </c>
    </row>
    <row r="23" spans="1:14" x14ac:dyDescent="0.2">
      <c r="J23" s="15" t="s">
        <v>22</v>
      </c>
      <c r="K23" s="15" t="s">
        <v>23</v>
      </c>
      <c r="L23" s="15" t="s">
        <v>24</v>
      </c>
      <c r="M23" s="15" t="s">
        <v>25</v>
      </c>
      <c r="N23" s="15" t="s">
        <v>86</v>
      </c>
    </row>
    <row r="24" spans="1:14" x14ac:dyDescent="0.2">
      <c r="J24" s="15" t="s">
        <v>119</v>
      </c>
      <c r="K24" s="15" t="s">
        <v>120</v>
      </c>
      <c r="L24" s="15" t="s">
        <v>121</v>
      </c>
      <c r="M24" s="15" t="s">
        <v>122</v>
      </c>
      <c r="N24" s="15" t="s">
        <v>123</v>
      </c>
    </row>
    <row r="25" spans="1:14" x14ac:dyDescent="0.2">
      <c r="J25" s="37">
        <v>2500</v>
      </c>
      <c r="K25" s="37">
        <v>3</v>
      </c>
      <c r="L25" s="37">
        <v>2</v>
      </c>
      <c r="M25" s="37">
        <v>25</v>
      </c>
      <c r="N25">
        <f>J25*M15+K25*L15+L25*K15+M25*J15+N15</f>
        <v>158261.09563260531</v>
      </c>
    </row>
  </sheetData>
  <phoneticPr fontId="6"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workbookViewId="0"/>
  </sheetViews>
  <sheetFormatPr defaultRowHeight="12.75" x14ac:dyDescent="0.2"/>
  <cols>
    <col min="6" max="6" width="10" bestFit="1" customWidth="1"/>
  </cols>
  <sheetData>
    <row r="1" spans="1:3" x14ac:dyDescent="0.2">
      <c r="A1" s="15" t="s">
        <v>85</v>
      </c>
      <c r="B1" s="15" t="s">
        <v>86</v>
      </c>
      <c r="C1" s="15" t="s">
        <v>87</v>
      </c>
    </row>
    <row r="2" spans="1:3" x14ac:dyDescent="0.2">
      <c r="A2">
        <v>10.029888084600024</v>
      </c>
      <c r="B2">
        <v>4.9478208885685433</v>
      </c>
    </row>
    <row r="3" spans="1:3" x14ac:dyDescent="0.2">
      <c r="A3">
        <v>10.094966978487175</v>
      </c>
      <c r="B3">
        <v>4.9439614638630189</v>
      </c>
    </row>
    <row r="4" spans="1:3" x14ac:dyDescent="0.2">
      <c r="A4">
        <v>10.162075623450729</v>
      </c>
      <c r="B4">
        <v>4.9415012552773021</v>
      </c>
    </row>
    <row r="5" spans="1:3" x14ac:dyDescent="0.2">
      <c r="A5">
        <v>10.229564846741107</v>
      </c>
      <c r="B5">
        <v>4.9428404389192053</v>
      </c>
    </row>
    <row r="6" spans="1:3" x14ac:dyDescent="0.2">
      <c r="A6">
        <v>10.296673491704661</v>
      </c>
      <c r="B6">
        <v>4.9429705292236434</v>
      </c>
    </row>
    <row r="7" spans="1:3" x14ac:dyDescent="0.2">
      <c r="A7">
        <v>10.369617671012872</v>
      </c>
      <c r="B7">
        <v>4.9421653675687196</v>
      </c>
    </row>
    <row r="8" spans="1:3" x14ac:dyDescent="0.2">
      <c r="A8">
        <v>10.445733336377961</v>
      </c>
      <c r="B8">
        <v>4.9437121352166429</v>
      </c>
    </row>
    <row r="9" spans="1:3" x14ac:dyDescent="0.2">
      <c r="A9">
        <v>10.520326688435746</v>
      </c>
      <c r="B9">
        <v>4.9447828111356671</v>
      </c>
    </row>
    <row r="10" spans="1:3" x14ac:dyDescent="0.2">
      <c r="A10">
        <v>10.59212913276348</v>
      </c>
      <c r="B10">
        <v>4.9423557732774128</v>
      </c>
    </row>
    <row r="11" spans="1:3" x14ac:dyDescent="0.2">
      <c r="A11">
        <v>10.664439014860315</v>
      </c>
      <c r="B11">
        <v>4.9402187711798859</v>
      </c>
    </row>
    <row r="12" spans="1:3" x14ac:dyDescent="0.2">
      <c r="A12">
        <v>10.74245757185953</v>
      </c>
      <c r="B12">
        <v>4.9322854570133501</v>
      </c>
    </row>
    <row r="13" spans="1:3" x14ac:dyDescent="0.2">
      <c r="A13">
        <v>10.818700096666895</v>
      </c>
      <c r="B13">
        <v>4.9355706931043954</v>
      </c>
    </row>
    <row r="14" spans="1:3" x14ac:dyDescent="0.2">
      <c r="A14">
        <v>10.898114107531137</v>
      </c>
      <c r="B14">
        <v>4.9348871854778338</v>
      </c>
    </row>
    <row r="15" spans="1:3" x14ac:dyDescent="0.2">
      <c r="A15">
        <v>10.979304150587232</v>
      </c>
      <c r="B15">
        <v>4.9335198115217906</v>
      </c>
    </row>
    <row r="16" spans="1:3" x14ac:dyDescent="0.2">
      <c r="A16">
        <v>11.057703285913274</v>
      </c>
      <c r="B16">
        <v>4.9305276689085105</v>
      </c>
    </row>
    <row r="17" spans="1:2" x14ac:dyDescent="0.2">
      <c r="A17">
        <v>11.135848702354766</v>
      </c>
      <c r="B17">
        <v>4.9250501124905668</v>
      </c>
    </row>
    <row r="18" spans="1:2" x14ac:dyDescent="0.2">
      <c r="A18">
        <v>11.224777171389643</v>
      </c>
      <c r="B18">
        <v>4.9236470228932063</v>
      </c>
    </row>
    <row r="19" spans="1:2" x14ac:dyDescent="0.2">
      <c r="A19">
        <v>11.305840355003463</v>
      </c>
      <c r="B19">
        <v>4.9188105710132675</v>
      </c>
    </row>
    <row r="20" spans="1:2" x14ac:dyDescent="0.2">
      <c r="A20">
        <v>11.392231635192839</v>
      </c>
      <c r="B20">
        <v>4.9142674229155858</v>
      </c>
    </row>
    <row r="21" spans="1:2" x14ac:dyDescent="0.2">
      <c r="A21">
        <v>11.485346465822797</v>
      </c>
      <c r="B21">
        <v>4.912449947268513</v>
      </c>
    </row>
    <row r="22" spans="1:2" x14ac:dyDescent="0.2">
      <c r="A22">
        <v>11.574401794299952</v>
      </c>
      <c r="B22">
        <v>4.9158404075757005</v>
      </c>
    </row>
    <row r="23" spans="1:2" x14ac:dyDescent="0.2">
      <c r="A23">
        <v>11.673732737601393</v>
      </c>
      <c r="B23">
        <v>4.915289596867126</v>
      </c>
    </row>
    <row r="24" spans="1:2" x14ac:dyDescent="0.2">
      <c r="A24">
        <v>11.764944676597224</v>
      </c>
      <c r="B24">
        <v>4.9107177568608762</v>
      </c>
    </row>
    <row r="25" spans="1:2" x14ac:dyDescent="0.2">
      <c r="A25">
        <v>11.863133884918188</v>
      </c>
      <c r="B25">
        <v>4.9105787088154784</v>
      </c>
    </row>
    <row r="26" spans="1:2" x14ac:dyDescent="0.2">
      <c r="A26">
        <v>11.956502434432696</v>
      </c>
      <c r="B26">
        <v>4.9074892766103488</v>
      </c>
    </row>
    <row r="27" spans="1:2" x14ac:dyDescent="0.2">
      <c r="A27">
        <v>12.054311064426836</v>
      </c>
      <c r="B27">
        <v>4.9100711755583006</v>
      </c>
    </row>
    <row r="28" spans="1:2" x14ac:dyDescent="0.2">
      <c r="A28">
        <v>12.154403164381929</v>
      </c>
      <c r="B28">
        <v>4.9128382335908753</v>
      </c>
    </row>
    <row r="29" spans="1:2" x14ac:dyDescent="0.2">
      <c r="A29">
        <v>12.261345674219879</v>
      </c>
      <c r="B29">
        <v>4.9142637704238865</v>
      </c>
    </row>
    <row r="30" spans="1:2" x14ac:dyDescent="0.2">
      <c r="A30">
        <v>12.373235702306559</v>
      </c>
      <c r="B30">
        <v>4.9180000695426429</v>
      </c>
    </row>
    <row r="31" spans="1:2" x14ac:dyDescent="0.2">
      <c r="A31">
        <v>12.476499288318529</v>
      </c>
      <c r="B31">
        <v>4.9159286661626851</v>
      </c>
    </row>
    <row r="32" spans="1:2" x14ac:dyDescent="0.2">
      <c r="A32">
        <v>12.573673621101292</v>
      </c>
      <c r="B32">
        <v>4.9124149177131642</v>
      </c>
    </row>
    <row r="33" spans="1:2" x14ac:dyDescent="0.2">
      <c r="A33">
        <v>12.684929351976598</v>
      </c>
      <c r="B33">
        <v>4.9091018500567998</v>
      </c>
    </row>
    <row r="34" spans="1:2" x14ac:dyDescent="0.2">
      <c r="A34">
        <v>12.805953259907088</v>
      </c>
      <c r="B34">
        <v>4.8992895788307749</v>
      </c>
    </row>
    <row r="35" spans="1:2" x14ac:dyDescent="0.2">
      <c r="A35">
        <v>12.928499481144881</v>
      </c>
      <c r="B35">
        <v>4.8983297858025026</v>
      </c>
    </row>
    <row r="36" spans="1:2" x14ac:dyDescent="0.2">
      <c r="A36">
        <v>13.04673248134532</v>
      </c>
      <c r="B36">
        <v>4.8933792249312518</v>
      </c>
    </row>
    <row r="37" spans="1:2" x14ac:dyDescent="0.2">
      <c r="A37">
        <v>13.172703907524541</v>
      </c>
      <c r="B37">
        <v>4.8911848754421072</v>
      </c>
    </row>
    <row r="38" spans="1:2" x14ac:dyDescent="0.2">
      <c r="A38">
        <v>13.302988554741118</v>
      </c>
      <c r="B38">
        <v>4.8878893811198481</v>
      </c>
    </row>
    <row r="39" spans="1:2" x14ac:dyDescent="0.2">
      <c r="A39">
        <v>13.432131466977218</v>
      </c>
      <c r="B39">
        <v>4.8863391211148439</v>
      </c>
    </row>
    <row r="40" spans="1:2" x14ac:dyDescent="0.2">
      <c r="A40">
        <v>13.568251648538453</v>
      </c>
      <c r="B40">
        <v>4.8861541889930606</v>
      </c>
    </row>
    <row r="41" spans="1:2" x14ac:dyDescent="0.2">
      <c r="A41">
        <v>13.70449868954196</v>
      </c>
      <c r="B41">
        <v>4.882949734094268</v>
      </c>
    </row>
    <row r="42" spans="1:2" x14ac:dyDescent="0.2">
      <c r="A42">
        <v>13.845058951582825</v>
      </c>
      <c r="B42">
        <v>4.8776092272832159</v>
      </c>
    </row>
    <row r="43" spans="1:2" x14ac:dyDescent="0.2">
      <c r="A43">
        <v>13.998558876735755</v>
      </c>
      <c r="B43">
        <v>4.8752852414841783</v>
      </c>
    </row>
    <row r="44" spans="1:2" x14ac:dyDescent="0.2">
      <c r="A44">
        <v>14.148253018620428</v>
      </c>
      <c r="B44">
        <v>4.8754664850441145</v>
      </c>
    </row>
    <row r="45" spans="1:2" x14ac:dyDescent="0.2">
      <c r="A45">
        <v>14.290208734526319</v>
      </c>
      <c r="B45">
        <v>4.870561701737472</v>
      </c>
    </row>
    <row r="46" spans="1:2" x14ac:dyDescent="0.2">
      <c r="A46">
        <v>14.449797912908455</v>
      </c>
      <c r="B46">
        <v>4.8682421190839023</v>
      </c>
    </row>
    <row r="47" spans="1:2" x14ac:dyDescent="0.2">
      <c r="A47">
        <v>14.613700312327946</v>
      </c>
      <c r="B47">
        <v>4.8651480314733391</v>
      </c>
    </row>
    <row r="48" spans="1:2" x14ac:dyDescent="0.2">
      <c r="A48">
        <v>14.786482872706699</v>
      </c>
      <c r="B48">
        <v>4.8598377328611235</v>
      </c>
    </row>
    <row r="49" spans="1:2" x14ac:dyDescent="0.2">
      <c r="A49">
        <v>14.953176179856243</v>
      </c>
      <c r="B49">
        <v>4.8602491002696269</v>
      </c>
    </row>
    <row r="50" spans="1:2" x14ac:dyDescent="0.2">
      <c r="A50">
        <v>15.122406675851291</v>
      </c>
      <c r="B50">
        <v>4.8608708656653192</v>
      </c>
    </row>
    <row r="51" spans="1:2" x14ac:dyDescent="0.2">
      <c r="A51">
        <v>15.305211132169779</v>
      </c>
      <c r="B51">
        <v>4.8572681994697717</v>
      </c>
    </row>
    <row r="52" spans="1:2" x14ac:dyDescent="0.2">
      <c r="A52">
        <v>15.492075090641071</v>
      </c>
      <c r="B52">
        <v>4.8353961616051748</v>
      </c>
    </row>
    <row r="53" spans="1:2" x14ac:dyDescent="0.2">
      <c r="A53">
        <v>15.684394005130196</v>
      </c>
      <c r="B53">
        <v>4.827013202587338</v>
      </c>
    </row>
    <row r="54" spans="1:2" x14ac:dyDescent="0.2">
      <c r="A54">
        <v>15.87696663850387</v>
      </c>
      <c r="B54">
        <v>4.8233119379117255</v>
      </c>
    </row>
    <row r="55" spans="1:2" x14ac:dyDescent="0.2">
      <c r="A55">
        <v>16.080322324470934</v>
      </c>
      <c r="B55">
        <v>4.8228090853111922</v>
      </c>
    </row>
    <row r="56" spans="1:2" x14ac:dyDescent="0.2">
      <c r="A56">
        <v>16.293319328050906</v>
      </c>
      <c r="B56">
        <v>4.814444425545986</v>
      </c>
    </row>
    <row r="57" spans="1:2" x14ac:dyDescent="0.2">
      <c r="A57">
        <v>16.510502693225959</v>
      </c>
      <c r="B57">
        <v>4.8143378026798871</v>
      </c>
    </row>
    <row r="58" spans="1:2" x14ac:dyDescent="0.2">
      <c r="A58">
        <v>16.738342251552126</v>
      </c>
      <c r="B58">
        <v>4.8144126168250381</v>
      </c>
    </row>
    <row r="59" spans="1:2" x14ac:dyDescent="0.2">
      <c r="A59">
        <v>16.972144203665223</v>
      </c>
      <c r="B59">
        <v>4.8157107343286185</v>
      </c>
    </row>
    <row r="60" spans="1:2" x14ac:dyDescent="0.2">
      <c r="A60">
        <v>17.207975906854724</v>
      </c>
      <c r="B60">
        <v>4.8099296468158173</v>
      </c>
    </row>
    <row r="61" spans="1:2" x14ac:dyDescent="0.2">
      <c r="A61">
        <v>17.453702646541686</v>
      </c>
      <c r="B61">
        <v>4.8049453098069677</v>
      </c>
    </row>
    <row r="62" spans="1:2" x14ac:dyDescent="0.2">
      <c r="A62">
        <v>17.711988471013886</v>
      </c>
      <c r="B62">
        <v>4.8004738087804242</v>
      </c>
    </row>
    <row r="63" spans="1:2" x14ac:dyDescent="0.2">
      <c r="A63">
        <v>17.98016933198355</v>
      </c>
      <c r="B63">
        <v>4.7992086404451868</v>
      </c>
    </row>
    <row r="64" spans="1:2" x14ac:dyDescent="0.2">
      <c r="A64">
        <v>18.265349358218081</v>
      </c>
      <c r="B64">
        <v>4.7951079817030973</v>
      </c>
    </row>
    <row r="65" spans="1:2" x14ac:dyDescent="0.2">
      <c r="A65">
        <v>18.559409545411874</v>
      </c>
      <c r="B65">
        <v>4.794310479983551</v>
      </c>
    </row>
    <row r="66" spans="1:2" x14ac:dyDescent="0.2">
      <c r="A66">
        <v>18.866789974044558</v>
      </c>
      <c r="B66">
        <v>4.7964359653952755</v>
      </c>
    </row>
    <row r="67" spans="1:2" x14ac:dyDescent="0.2">
      <c r="A67">
        <v>19.191042708499836</v>
      </c>
      <c r="B67">
        <v>4.7841625915337289</v>
      </c>
    </row>
    <row r="68" spans="1:2" x14ac:dyDescent="0.2">
      <c r="A68">
        <v>19.516817756262416</v>
      </c>
      <c r="B68">
        <v>4.7837106903968163</v>
      </c>
    </row>
    <row r="69" spans="1:2" x14ac:dyDescent="0.2">
      <c r="A69">
        <v>19.861621720366269</v>
      </c>
      <c r="B69">
        <v>4.7693931897212138</v>
      </c>
    </row>
    <row r="70" spans="1:2" x14ac:dyDescent="0.2">
      <c r="A70">
        <v>20.21999964479356</v>
      </c>
      <c r="B70">
        <v>4.768648576181107</v>
      </c>
    </row>
    <row r="71" spans="1:2" x14ac:dyDescent="0.2">
      <c r="A71">
        <v>20.603749457675885</v>
      </c>
      <c r="B71">
        <v>4.7641464297112748</v>
      </c>
    </row>
    <row r="72" spans="1:2" x14ac:dyDescent="0.2">
      <c r="A72">
        <v>21.015281488416463</v>
      </c>
      <c r="B72">
        <v>4.7533245547503071</v>
      </c>
    </row>
    <row r="73" spans="1:2" x14ac:dyDescent="0.2">
      <c r="A73">
        <v>21.433663929039902</v>
      </c>
      <c r="B73">
        <v>4.738952285234646</v>
      </c>
    </row>
    <row r="74" spans="1:2" x14ac:dyDescent="0.2">
      <c r="A74">
        <v>21.876530242022444</v>
      </c>
      <c r="B74">
        <v>4.7249357314807838</v>
      </c>
    </row>
    <row r="75" spans="1:2" x14ac:dyDescent="0.2">
      <c r="A75">
        <v>22.352253150554247</v>
      </c>
      <c r="B75">
        <v>4.7173420423715271</v>
      </c>
    </row>
    <row r="76" spans="1:2" x14ac:dyDescent="0.2">
      <c r="A76">
        <v>22.85081075869558</v>
      </c>
      <c r="B76">
        <v>4.6988490519898392</v>
      </c>
    </row>
    <row r="77" spans="1:2" x14ac:dyDescent="0.2">
      <c r="A77">
        <v>23.386665042865804</v>
      </c>
      <c r="B77">
        <v>4.6948521684261664</v>
      </c>
    </row>
    <row r="78" spans="1:2" x14ac:dyDescent="0.2">
      <c r="A78">
        <v>23.959054846411274</v>
      </c>
      <c r="B78">
        <v>4.6813737680298431</v>
      </c>
    </row>
    <row r="79" spans="1:2" x14ac:dyDescent="0.2">
      <c r="A79">
        <v>24.564808683275103</v>
      </c>
      <c r="B79">
        <v>4.6754143377401647</v>
      </c>
    </row>
    <row r="80" spans="1:2" x14ac:dyDescent="0.2">
      <c r="A80">
        <v>25.220291421510794</v>
      </c>
      <c r="B80">
        <v>4.6701381039166705</v>
      </c>
    </row>
    <row r="81" spans="1:2" x14ac:dyDescent="0.2">
      <c r="A81">
        <v>25.920048105100509</v>
      </c>
      <c r="B81">
        <v>4.6552929238000615</v>
      </c>
    </row>
    <row r="82" spans="1:2" x14ac:dyDescent="0.2">
      <c r="A82">
        <v>26.686025417557854</v>
      </c>
      <c r="B82">
        <v>4.6363749444999058</v>
      </c>
    </row>
    <row r="83" spans="1:2" x14ac:dyDescent="0.2">
      <c r="A83">
        <v>27.507694025173986</v>
      </c>
      <c r="B83">
        <v>4.6164995966227593</v>
      </c>
    </row>
    <row r="84" spans="1:2" x14ac:dyDescent="0.2">
      <c r="A84">
        <v>28.430977046052515</v>
      </c>
      <c r="B84">
        <v>4.5944703123847574</v>
      </c>
    </row>
    <row r="85" spans="1:2" x14ac:dyDescent="0.2">
      <c r="A85">
        <v>29.417562928626342</v>
      </c>
      <c r="B85">
        <v>4.5792755797811395</v>
      </c>
    </row>
    <row r="86" spans="1:2" x14ac:dyDescent="0.2">
      <c r="A86">
        <v>30.531896269571241</v>
      </c>
      <c r="B86">
        <v>4.5623352597100819</v>
      </c>
    </row>
    <row r="87" spans="1:2" x14ac:dyDescent="0.2">
      <c r="A87">
        <v>31.78793160753748</v>
      </c>
      <c r="B87">
        <v>4.5353794455626826</v>
      </c>
    </row>
    <row r="88" spans="1:2" x14ac:dyDescent="0.2">
      <c r="A88">
        <v>33.204190421097231</v>
      </c>
      <c r="B88">
        <v>4.5136529104228345</v>
      </c>
    </row>
    <row r="89" spans="1:2" x14ac:dyDescent="0.2">
      <c r="A89">
        <v>34.890786706145327</v>
      </c>
      <c r="B89">
        <v>4.4864189722602248</v>
      </c>
    </row>
    <row r="90" spans="1:2" x14ac:dyDescent="0.2">
      <c r="A90">
        <v>36.861040704120647</v>
      </c>
      <c r="B90">
        <v>4.455215376677657</v>
      </c>
    </row>
    <row r="91" spans="1:2" x14ac:dyDescent="0.2">
      <c r="A91">
        <v>39.211619310036866</v>
      </c>
      <c r="B91">
        <v>4.4231973143081973</v>
      </c>
    </row>
    <row r="92" spans="1:2" x14ac:dyDescent="0.2">
      <c r="A92">
        <v>42.217807513631044</v>
      </c>
      <c r="B92">
        <v>4.3912288412582399</v>
      </c>
    </row>
    <row r="93" spans="1:2" x14ac:dyDescent="0.2">
      <c r="A93">
        <v>46.193328715649635</v>
      </c>
      <c r="B93">
        <v>4.3574470799411102</v>
      </c>
    </row>
    <row r="94" spans="1:2" x14ac:dyDescent="0.2">
      <c r="A94">
        <v>51.886653625516004</v>
      </c>
      <c r="B94">
        <v>4.3041689747675065</v>
      </c>
    </row>
    <row r="95" spans="1:2" x14ac:dyDescent="0.2">
      <c r="A95">
        <v>60.773538135216945</v>
      </c>
      <c r="B95">
        <v>4.2692749388225621</v>
      </c>
    </row>
    <row r="96" spans="1:2" x14ac:dyDescent="0.2">
      <c r="A96">
        <v>81.771820458368538</v>
      </c>
      <c r="B96">
        <v>4.2021241010435375</v>
      </c>
    </row>
    <row r="97" spans="1:2" x14ac:dyDescent="0.2">
      <c r="A97">
        <v>99.98832893131069</v>
      </c>
      <c r="B97">
        <v>4.0518631745989637</v>
      </c>
    </row>
  </sheetData>
  <phoneticPr fontId="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workbookViewId="0"/>
  </sheetViews>
  <sheetFormatPr defaultRowHeight="12.75" x14ac:dyDescent="0.2"/>
  <sheetData>
    <row r="1" spans="1:12" x14ac:dyDescent="0.2">
      <c r="A1" t="s">
        <v>67</v>
      </c>
      <c r="F1" t="s">
        <v>70</v>
      </c>
    </row>
    <row r="2" spans="1:12" x14ac:dyDescent="0.2">
      <c r="A2">
        <v>1</v>
      </c>
      <c r="B2">
        <f>A2^3</f>
        <v>1</v>
      </c>
      <c r="F2">
        <f>E10</f>
        <v>1</v>
      </c>
      <c r="G2">
        <v>1</v>
      </c>
      <c r="H2">
        <v>2</v>
      </c>
      <c r="I2">
        <v>3</v>
      </c>
      <c r="J2">
        <v>4</v>
      </c>
      <c r="K2">
        <v>5</v>
      </c>
      <c r="L2">
        <v>6</v>
      </c>
    </row>
    <row r="3" spans="1:12" x14ac:dyDescent="0.2">
      <c r="A3">
        <v>2</v>
      </c>
      <c r="B3">
        <f t="dataTable" ref="B3:B10" dt2D="0" dtr="0" r1="A2"/>
        <v>8</v>
      </c>
      <c r="F3">
        <v>1</v>
      </c>
      <c r="G3">
        <f t="dataTable" ref="G3:L10" dt2D="1" dtr="0" r1="E9" r2="E8"/>
        <v>0.42478219352309343</v>
      </c>
      <c r="H3">
        <v>-0.6979515210165852</v>
      </c>
      <c r="I3">
        <v>-0.61856790479895407</v>
      </c>
      <c r="J3">
        <v>0.54920206987325915</v>
      </c>
      <c r="K3">
        <v>1.1323228199233408</v>
      </c>
      <c r="L3">
        <v>0.29537145794745123</v>
      </c>
    </row>
    <row r="4" spans="1:12" x14ac:dyDescent="0.2">
      <c r="A4">
        <v>3</v>
      </c>
      <c r="B4">
        <v>27</v>
      </c>
      <c r="F4">
        <v>2</v>
      </c>
      <c r="G4">
        <v>4.2466872643003861E-3</v>
      </c>
      <c r="H4">
        <v>-1.1184870272753784</v>
      </c>
      <c r="I4">
        <v>-1.0391034110577473</v>
      </c>
      <c r="J4">
        <v>0.1286665636144661</v>
      </c>
      <c r="K4">
        <v>0.71178731366454773</v>
      </c>
      <c r="L4">
        <v>-0.12516404831134181</v>
      </c>
    </row>
    <row r="5" spans="1:12" x14ac:dyDescent="0.2">
      <c r="A5">
        <v>4</v>
      </c>
      <c r="B5">
        <v>64</v>
      </c>
      <c r="F5">
        <v>3</v>
      </c>
      <c r="G5">
        <v>0.69578067070498284</v>
      </c>
      <c r="H5">
        <v>-0.42695304383469584</v>
      </c>
      <c r="I5">
        <v>-0.34756942761706472</v>
      </c>
      <c r="J5">
        <v>0.82020054705514855</v>
      </c>
      <c r="K5">
        <v>1.4033212971052302</v>
      </c>
      <c r="L5">
        <v>0.56636993512934064</v>
      </c>
    </row>
    <row r="6" spans="1:12" x14ac:dyDescent="0.2">
      <c r="A6">
        <v>5</v>
      </c>
      <c r="B6">
        <v>125</v>
      </c>
      <c r="E6">
        <v>3</v>
      </c>
      <c r="F6">
        <v>4</v>
      </c>
      <c r="G6">
        <v>-0.25291073253720869</v>
      </c>
      <c r="H6">
        <v>-1.3756444470768874</v>
      </c>
      <c r="I6">
        <v>-1.2962608308592563</v>
      </c>
      <c r="J6">
        <v>-0.12849085618704298</v>
      </c>
      <c r="K6">
        <v>0.45462989386303865</v>
      </c>
      <c r="L6">
        <v>-0.38232146811285089</v>
      </c>
    </row>
    <row r="7" spans="1:12" x14ac:dyDescent="0.2">
      <c r="A7">
        <v>6</v>
      </c>
      <c r="B7">
        <v>216</v>
      </c>
      <c r="E7">
        <v>5</v>
      </c>
      <c r="F7">
        <v>5</v>
      </c>
      <c r="G7">
        <v>0.93395002562034302</v>
      </c>
      <c r="H7">
        <v>-0.18878368891933561</v>
      </c>
      <c r="I7">
        <v>-0.10940007270170449</v>
      </c>
      <c r="J7">
        <v>1.0583699019705088</v>
      </c>
      <c r="K7">
        <v>1.6414906520205905</v>
      </c>
      <c r="L7">
        <v>0.80453929004470082</v>
      </c>
    </row>
    <row r="8" spans="1:12" x14ac:dyDescent="0.2">
      <c r="A8">
        <v>7</v>
      </c>
      <c r="B8">
        <v>343</v>
      </c>
      <c r="F8">
        <v>6</v>
      </c>
      <c r="G8">
        <v>-0.46732506130844981</v>
      </c>
      <c r="H8">
        <v>-1.5900587758481284</v>
      </c>
      <c r="I8">
        <v>-1.5106751596304973</v>
      </c>
      <c r="J8">
        <v>-0.34290518495828409</v>
      </c>
      <c r="K8">
        <v>0.24021556509179753</v>
      </c>
      <c r="L8">
        <v>-0.59673579688409206</v>
      </c>
    </row>
    <row r="9" spans="1:12" x14ac:dyDescent="0.2">
      <c r="A9">
        <v>8</v>
      </c>
      <c r="B9">
        <v>512</v>
      </c>
      <c r="F9">
        <v>7</v>
      </c>
      <c r="G9">
        <v>1.1203178239992824</v>
      </c>
      <c r="H9">
        <v>-2.4158905403963704E-3</v>
      </c>
      <c r="I9">
        <v>7.6967725677234755E-2</v>
      </c>
      <c r="J9">
        <v>1.244737700349448</v>
      </c>
      <c r="K9">
        <v>1.8278584503995297</v>
      </c>
      <c r="L9">
        <v>0.99090708842364017</v>
      </c>
    </row>
    <row r="10" spans="1:12" x14ac:dyDescent="0.2">
      <c r="A10">
        <v>9</v>
      </c>
      <c r="B10">
        <v>729</v>
      </c>
      <c r="E10">
        <f>SIN(E6*E8)+COS(E7*E9)</f>
        <v>1</v>
      </c>
      <c r="F10">
        <v>8</v>
      </c>
      <c r="G10">
        <v>-0.62191617654339759</v>
      </c>
      <c r="H10">
        <v>-1.7446498910830763</v>
      </c>
      <c r="I10">
        <v>-1.6652662748654452</v>
      </c>
      <c r="J10">
        <v>-0.49749630019323193</v>
      </c>
      <c r="K10">
        <v>8.5624449856849694E-2</v>
      </c>
      <c r="L10">
        <v>-0.75132691211903979</v>
      </c>
    </row>
    <row r="12" spans="1:12" x14ac:dyDescent="0.2">
      <c r="A12" t="s">
        <v>68</v>
      </c>
      <c r="G12" t="s">
        <v>71</v>
      </c>
    </row>
    <row r="13" spans="1:12" x14ac:dyDescent="0.2">
      <c r="A13" t="s">
        <v>69</v>
      </c>
      <c r="G13" t="s">
        <v>69</v>
      </c>
    </row>
    <row r="22" spans="1:12" x14ac:dyDescent="0.2">
      <c r="A22" t="s">
        <v>72</v>
      </c>
    </row>
    <row r="23" spans="1:12" x14ac:dyDescent="0.2">
      <c r="A23">
        <v>1</v>
      </c>
      <c r="B23">
        <f t="array" ref="B23:B31">A23:A31^3</f>
        <v>1</v>
      </c>
      <c r="G23">
        <v>1</v>
      </c>
      <c r="H23">
        <v>2</v>
      </c>
      <c r="I23">
        <v>3</v>
      </c>
      <c r="J23">
        <v>4</v>
      </c>
      <c r="K23">
        <v>5</v>
      </c>
      <c r="L23">
        <v>6</v>
      </c>
    </row>
    <row r="24" spans="1:12" x14ac:dyDescent="0.2">
      <c r="A24">
        <v>2</v>
      </c>
      <c r="B24">
        <v>8</v>
      </c>
      <c r="F24">
        <v>1</v>
      </c>
      <c r="G24">
        <f t="array" ref="G24:L31">SIN(E27*F24:F31)+COS(E28*G23:L23)</f>
        <v>0.42478219352309343</v>
      </c>
      <c r="H24">
        <v>-0.6979515210165852</v>
      </c>
      <c r="I24">
        <v>-0.61856790479895407</v>
      </c>
      <c r="J24">
        <v>0.54920206987325915</v>
      </c>
      <c r="K24">
        <v>1.1323228199233408</v>
      </c>
      <c r="L24">
        <v>0.29537145794745123</v>
      </c>
    </row>
    <row r="25" spans="1:12" x14ac:dyDescent="0.2">
      <c r="A25">
        <v>3</v>
      </c>
      <c r="B25">
        <v>27</v>
      </c>
      <c r="F25">
        <v>2</v>
      </c>
      <c r="G25">
        <v>4.2466872643003861E-3</v>
      </c>
      <c r="H25">
        <v>-1.1184870272753784</v>
      </c>
      <c r="I25">
        <v>-1.0391034110577473</v>
      </c>
      <c r="J25">
        <v>0.1286665636144661</v>
      </c>
      <c r="K25">
        <v>0.71178731366454773</v>
      </c>
      <c r="L25">
        <v>-0.12516404831134181</v>
      </c>
    </row>
    <row r="26" spans="1:12" x14ac:dyDescent="0.2">
      <c r="A26">
        <v>4</v>
      </c>
      <c r="B26">
        <v>64</v>
      </c>
      <c r="F26">
        <v>3</v>
      </c>
      <c r="G26">
        <v>0.69578067070498284</v>
      </c>
      <c r="H26">
        <v>-0.42695304383469584</v>
      </c>
      <c r="I26">
        <v>-0.34756942761706472</v>
      </c>
      <c r="J26">
        <v>0.82020054705514855</v>
      </c>
      <c r="K26">
        <v>1.4033212971052302</v>
      </c>
      <c r="L26">
        <v>0.56636993512934064</v>
      </c>
    </row>
    <row r="27" spans="1:12" x14ac:dyDescent="0.2">
      <c r="A27">
        <v>5</v>
      </c>
      <c r="B27">
        <v>125</v>
      </c>
      <c r="E27">
        <v>3</v>
      </c>
      <c r="F27">
        <v>4</v>
      </c>
      <c r="G27">
        <v>-0.25291073253720869</v>
      </c>
      <c r="H27">
        <v>-1.3756444470768874</v>
      </c>
      <c r="I27">
        <v>-1.2962608308592563</v>
      </c>
      <c r="J27">
        <v>-0.12849085618704298</v>
      </c>
      <c r="K27">
        <v>0.45462989386303865</v>
      </c>
      <c r="L27">
        <v>-0.38232146811285089</v>
      </c>
    </row>
    <row r="28" spans="1:12" x14ac:dyDescent="0.2">
      <c r="A28">
        <v>6</v>
      </c>
      <c r="B28">
        <v>216</v>
      </c>
      <c r="E28">
        <v>5</v>
      </c>
      <c r="F28">
        <v>5</v>
      </c>
      <c r="G28">
        <v>0.93395002562034302</v>
      </c>
      <c r="H28">
        <v>-0.18878368891933561</v>
      </c>
      <c r="I28">
        <v>-0.10940007270170449</v>
      </c>
      <c r="J28">
        <v>1.0583699019705088</v>
      </c>
      <c r="K28">
        <v>1.6414906520205905</v>
      </c>
      <c r="L28">
        <v>0.80453929004470082</v>
      </c>
    </row>
    <row r="29" spans="1:12" x14ac:dyDescent="0.2">
      <c r="A29">
        <v>7</v>
      </c>
      <c r="B29">
        <v>343</v>
      </c>
      <c r="F29">
        <v>6</v>
      </c>
      <c r="G29">
        <v>-0.46732506130844981</v>
      </c>
      <c r="H29">
        <v>-1.5900587758481284</v>
      </c>
      <c r="I29">
        <v>-1.5106751596304973</v>
      </c>
      <c r="J29">
        <v>-0.34290518495828409</v>
      </c>
      <c r="K29">
        <v>0.24021556509179753</v>
      </c>
      <c r="L29">
        <v>-0.59673579688409206</v>
      </c>
    </row>
    <row r="30" spans="1:12" x14ac:dyDescent="0.2">
      <c r="A30">
        <v>8</v>
      </c>
      <c r="B30">
        <v>512</v>
      </c>
      <c r="F30">
        <v>7</v>
      </c>
      <c r="G30">
        <v>1.1203178239992824</v>
      </c>
      <c r="H30">
        <v>-2.4158905403963704E-3</v>
      </c>
      <c r="I30">
        <v>7.6967725677234755E-2</v>
      </c>
      <c r="J30">
        <v>1.244737700349448</v>
      </c>
      <c r="K30">
        <v>1.8278584503995297</v>
      </c>
      <c r="L30">
        <v>0.99090708842364017</v>
      </c>
    </row>
    <row r="31" spans="1:12" x14ac:dyDescent="0.2">
      <c r="A31">
        <v>9</v>
      </c>
      <c r="B31">
        <v>729</v>
      </c>
      <c r="F31">
        <v>8</v>
      </c>
      <c r="G31">
        <v>-0.62191617654339759</v>
      </c>
      <c r="H31">
        <v>-1.7446498910830763</v>
      </c>
      <c r="I31">
        <v>-1.6652662748654452</v>
      </c>
      <c r="J31">
        <v>-0.49749630019323193</v>
      </c>
      <c r="K31">
        <v>8.5624449856849694E-2</v>
      </c>
      <c r="L31">
        <v>-0.75132691211903979</v>
      </c>
    </row>
  </sheetData>
  <phoneticPr fontId="6" type="noConversion"/>
  <pageMargins left="0.78740157499999996" right="0.78740157499999996" top="0.984251969" bottom="0.984251969" header="0.4921259845" footer="0.4921259845"/>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workbookViewId="0"/>
  </sheetViews>
  <sheetFormatPr defaultRowHeight="12.75" x14ac:dyDescent="0.2"/>
  <cols>
    <col min="1" max="1" width="9.140625" customWidth="1"/>
    <col min="9" max="9" width="17.7109375" bestFit="1" customWidth="1"/>
    <col min="11" max="11" width="9.140625" customWidth="1"/>
  </cols>
  <sheetData>
    <row r="1" spans="1:9" x14ac:dyDescent="0.2">
      <c r="A1" s="1" t="s">
        <v>0</v>
      </c>
      <c r="B1" s="2" t="s">
        <v>1</v>
      </c>
      <c r="C1" s="2" t="s">
        <v>266</v>
      </c>
      <c r="D1" s="1" t="s">
        <v>3</v>
      </c>
      <c r="E1" s="1" t="s">
        <v>4</v>
      </c>
      <c r="F1" s="1" t="s">
        <v>5</v>
      </c>
      <c r="G1" s="1" t="s">
        <v>6</v>
      </c>
      <c r="H1" s="1" t="s">
        <v>7</v>
      </c>
      <c r="I1" s="1"/>
    </row>
    <row r="2" spans="1:9" x14ac:dyDescent="0.2">
      <c r="A2" s="3"/>
      <c r="B2" s="4"/>
      <c r="C2" s="4">
        <v>1</v>
      </c>
      <c r="D2" t="s">
        <v>8</v>
      </c>
    </row>
    <row r="5" spans="1:9" x14ac:dyDescent="0.2">
      <c r="A5">
        <f>DSUM('Maticové vzorce'!A1:H166,'Maticové vzorce'!G1,A1:H2)</f>
        <v>402800</v>
      </c>
      <c r="B5" t="s">
        <v>89</v>
      </c>
      <c r="E5" s="42" t="s">
        <v>252</v>
      </c>
    </row>
    <row r="9" spans="1:9" x14ac:dyDescent="0.2">
      <c r="A9" s="1" t="s">
        <v>0</v>
      </c>
      <c r="B9" s="2" t="s">
        <v>1</v>
      </c>
      <c r="C9" s="2" t="s">
        <v>266</v>
      </c>
      <c r="D9" s="1" t="s">
        <v>3</v>
      </c>
      <c r="E9" s="1" t="s">
        <v>4</v>
      </c>
      <c r="F9" s="1" t="s">
        <v>5</v>
      </c>
      <c r="G9" s="1" t="s">
        <v>6</v>
      </c>
      <c r="H9" s="1" t="s">
        <v>7</v>
      </c>
      <c r="I9" s="1" t="s">
        <v>249</v>
      </c>
    </row>
    <row r="10" spans="1:9" x14ac:dyDescent="0.2">
      <c r="A10" s="3"/>
      <c r="B10" s="4"/>
      <c r="C10" s="4"/>
      <c r="I10" t="b">
        <f>'Maticové vzorce'!G2&gt;AVERAGE('Maticové vzorce'!$G$2:$G$166)</f>
        <v>0</v>
      </c>
    </row>
    <row r="13" spans="1:9" x14ac:dyDescent="0.2">
      <c r="A13">
        <f>DSUM('Maticové vzorce'!A1:H166,'Maticové vzorce'!G1,A9:I10)</f>
        <v>3826000</v>
      </c>
      <c r="B13" t="s">
        <v>250</v>
      </c>
      <c r="E13" s="42" t="s">
        <v>251</v>
      </c>
    </row>
  </sheetData>
  <phoneticPr fontId="6" type="noConversion"/>
  <hyperlinks>
    <hyperlink ref="E5" location="'Kontingenční tabulka'!A1" display="Výsledek porovnejte s kontingenční tabulkou."/>
    <hyperlink ref="E13" location="'Maticové vzorce'!G170" display="Výsledek porovnejte s maticovým vzorcem."/>
  </hyperlinks>
  <pageMargins left="0.78740157499999996" right="0.78740157499999996" top="0.984251969" bottom="0.984251969" header="0.4921259845" footer="0.492125984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2.75" x14ac:dyDescent="0.2"/>
  <cols>
    <col min="1" max="1" width="13.7109375" bestFit="1" customWidth="1"/>
    <col min="2" max="4" width="10.140625" customWidth="1"/>
    <col min="5" max="7" width="10.140625" bestFit="1" customWidth="1"/>
    <col min="8" max="8" width="13.7109375" bestFit="1" customWidth="1"/>
  </cols>
  <sheetData>
    <row r="1" spans="1:8" x14ac:dyDescent="0.2">
      <c r="A1" s="18" t="s">
        <v>7</v>
      </c>
      <c r="B1" s="34" t="s">
        <v>80</v>
      </c>
    </row>
    <row r="3" spans="1:8" x14ac:dyDescent="0.2">
      <c r="A3" s="31" t="s">
        <v>84</v>
      </c>
      <c r="B3" s="31" t="s">
        <v>3</v>
      </c>
      <c r="C3" s="32"/>
      <c r="D3" s="32"/>
      <c r="E3" s="32"/>
      <c r="F3" s="32"/>
      <c r="G3" s="32"/>
      <c r="H3" s="33"/>
    </row>
    <row r="4" spans="1:8" x14ac:dyDescent="0.2">
      <c r="A4" s="31" t="s">
        <v>266</v>
      </c>
      <c r="B4" s="17" t="s">
        <v>8</v>
      </c>
      <c r="C4" s="19" t="s">
        <v>12</v>
      </c>
      <c r="D4" s="19" t="s">
        <v>14</v>
      </c>
      <c r="E4" s="19" t="s">
        <v>10</v>
      </c>
      <c r="F4" s="19" t="s">
        <v>17</v>
      </c>
      <c r="G4" s="19" t="s">
        <v>13</v>
      </c>
      <c r="H4" s="20" t="s">
        <v>51</v>
      </c>
    </row>
    <row r="5" spans="1:8" x14ac:dyDescent="0.2">
      <c r="A5" s="17">
        <v>1</v>
      </c>
      <c r="B5" s="21">
        <v>402800</v>
      </c>
      <c r="C5" s="22">
        <v>256000</v>
      </c>
      <c r="D5" s="22">
        <v>81600</v>
      </c>
      <c r="E5" s="22">
        <v>280000</v>
      </c>
      <c r="F5" s="22">
        <v>140600</v>
      </c>
      <c r="G5" s="22">
        <v>912000</v>
      </c>
      <c r="H5" s="23">
        <v>2073000</v>
      </c>
    </row>
    <row r="6" spans="1:8" x14ac:dyDescent="0.2">
      <c r="A6" s="24">
        <v>2</v>
      </c>
      <c r="B6" s="25">
        <v>190000</v>
      </c>
      <c r="C6" s="4">
        <v>136000</v>
      </c>
      <c r="D6" s="4">
        <v>38400</v>
      </c>
      <c r="E6" s="4">
        <v>40000</v>
      </c>
      <c r="F6" s="4">
        <v>53200</v>
      </c>
      <c r="G6" s="4">
        <v>152000</v>
      </c>
      <c r="H6" s="26">
        <v>609600</v>
      </c>
    </row>
    <row r="7" spans="1:8" x14ac:dyDescent="0.2">
      <c r="A7" s="24">
        <v>3</v>
      </c>
      <c r="B7" s="25">
        <v>144400</v>
      </c>
      <c r="C7" s="4">
        <v>112000</v>
      </c>
      <c r="D7" s="4">
        <v>48000</v>
      </c>
      <c r="E7" s="4">
        <v>120000</v>
      </c>
      <c r="F7" s="4">
        <v>72200</v>
      </c>
      <c r="G7" s="4">
        <v>190000</v>
      </c>
      <c r="H7" s="26">
        <v>686600</v>
      </c>
    </row>
    <row r="8" spans="1:8" x14ac:dyDescent="0.2">
      <c r="A8" s="24">
        <v>4</v>
      </c>
      <c r="B8" s="25">
        <v>129200</v>
      </c>
      <c r="C8" s="4">
        <v>88000</v>
      </c>
      <c r="D8" s="4">
        <v>28800</v>
      </c>
      <c r="E8" s="4">
        <v>60000</v>
      </c>
      <c r="F8" s="4">
        <v>15200</v>
      </c>
      <c r="G8" s="4">
        <v>266000</v>
      </c>
      <c r="H8" s="26">
        <v>587200</v>
      </c>
    </row>
    <row r="9" spans="1:8" x14ac:dyDescent="0.2">
      <c r="A9" s="24">
        <v>5</v>
      </c>
      <c r="B9" s="25">
        <v>326800</v>
      </c>
      <c r="C9" s="4">
        <v>216000</v>
      </c>
      <c r="D9" s="4">
        <v>105600</v>
      </c>
      <c r="E9" s="4">
        <v>160000</v>
      </c>
      <c r="F9" s="4">
        <v>91200</v>
      </c>
      <c r="G9" s="4">
        <v>912000</v>
      </c>
      <c r="H9" s="26">
        <v>1811600</v>
      </c>
    </row>
    <row r="10" spans="1:8" x14ac:dyDescent="0.2">
      <c r="A10" s="27" t="s">
        <v>51</v>
      </c>
      <c r="B10" s="28">
        <v>1193200</v>
      </c>
      <c r="C10" s="29">
        <v>808000</v>
      </c>
      <c r="D10" s="29">
        <v>302400</v>
      </c>
      <c r="E10" s="29">
        <v>660000</v>
      </c>
      <c r="F10" s="29">
        <v>372400</v>
      </c>
      <c r="G10" s="29">
        <v>2432000</v>
      </c>
      <c r="H10" s="30">
        <v>5768000</v>
      </c>
    </row>
  </sheetData>
  <phoneticPr fontId="6"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6"/>
  <sheetViews>
    <sheetView workbookViewId="0"/>
  </sheetViews>
  <sheetFormatPr defaultRowHeight="12.75" x14ac:dyDescent="0.2"/>
  <cols>
    <col min="18" max="18" width="10.140625" bestFit="1" customWidth="1"/>
    <col min="24" max="24" width="13.85546875" bestFit="1" customWidth="1"/>
  </cols>
  <sheetData>
    <row r="1" spans="1:24" x14ac:dyDescent="0.2">
      <c r="A1" s="35" t="s">
        <v>190</v>
      </c>
      <c r="B1" s="35" t="s">
        <v>188</v>
      </c>
      <c r="C1" s="35" t="s">
        <v>189</v>
      </c>
      <c r="F1" t="s">
        <v>182</v>
      </c>
      <c r="G1" t="s">
        <v>183</v>
      </c>
      <c r="H1" t="s">
        <v>187</v>
      </c>
      <c r="L1" t="s">
        <v>193</v>
      </c>
      <c r="M1" t="s">
        <v>169</v>
      </c>
      <c r="O1" t="s">
        <v>194</v>
      </c>
      <c r="R1" s="35" t="s">
        <v>197</v>
      </c>
      <c r="S1" s="35" t="s">
        <v>195</v>
      </c>
      <c r="U1" t="s">
        <v>196</v>
      </c>
      <c r="W1">
        <v>38352</v>
      </c>
      <c r="X1" t="s">
        <v>198</v>
      </c>
    </row>
    <row r="2" spans="1:24" x14ac:dyDescent="0.2">
      <c r="A2" t="s">
        <v>182</v>
      </c>
      <c r="B2" t="s">
        <v>184</v>
      </c>
      <c r="C2">
        <v>5</v>
      </c>
      <c r="E2" t="s">
        <v>184</v>
      </c>
      <c r="F2">
        <f t="array" aca="1" ref="F2" ca="1">SUM(IF(F$1&amp;$E2=Předmět&amp;Kancelář,Množství))</f>
        <v>21</v>
      </c>
      <c r="G2">
        <f t="array" aca="1" ref="G2" ca="1">SUM(IF(G$1&amp;$E2=Předmět&amp;Kancelář,Množství))</f>
        <v>5</v>
      </c>
      <c r="H2">
        <f t="array" aca="1" ref="H2" ca="1">SUM(IF(H$1&amp;$E2=Předmět&amp;Kancelář,Množství))</f>
        <v>2</v>
      </c>
      <c r="L2">
        <v>1</v>
      </c>
      <c r="M2">
        <f>L2*SIN(L2/$O$2)</f>
        <v>0.8414709848078965</v>
      </c>
      <c r="O2">
        <v>1</v>
      </c>
      <c r="R2" s="3">
        <v>38353</v>
      </c>
      <c r="S2">
        <v>0</v>
      </c>
      <c r="U2">
        <v>365</v>
      </c>
      <c r="W2">
        <v>1</v>
      </c>
      <c r="X2" s="3">
        <f>W2+W1</f>
        <v>38353</v>
      </c>
    </row>
    <row r="3" spans="1:24" x14ac:dyDescent="0.2">
      <c r="A3" t="s">
        <v>183</v>
      </c>
      <c r="B3" t="s">
        <v>185</v>
      </c>
      <c r="C3">
        <v>2</v>
      </c>
      <c r="E3" t="s">
        <v>185</v>
      </c>
      <c r="F3">
        <f t="array" aca="1" ref="F3" ca="1">SUM(IF(F$1&amp;$E3=Předmět&amp;Kancelář,Množství))</f>
        <v>9</v>
      </c>
      <c r="G3">
        <f t="array" aca="1" ref="G3" ca="1">SUM(IF(G$1&amp;$E3=Předmět&amp;Kancelář,Množství))</f>
        <v>10</v>
      </c>
      <c r="H3">
        <f t="array" aca="1" ref="H3" ca="1">SUM(IF(H$1&amp;$E3=Předmět&amp;Kancelář,Množství))</f>
        <v>10</v>
      </c>
      <c r="L3">
        <v>2</v>
      </c>
      <c r="M3">
        <f t="shared" ref="M3:M51" si="0">L3*SIN(L3/$O$2)</f>
        <v>1.8185948536513634</v>
      </c>
      <c r="R3" s="3">
        <v>38354</v>
      </c>
      <c r="S3">
        <v>0</v>
      </c>
    </row>
    <row r="4" spans="1:24" x14ac:dyDescent="0.2">
      <c r="A4" t="s">
        <v>187</v>
      </c>
      <c r="B4" t="s">
        <v>186</v>
      </c>
      <c r="C4">
        <v>6</v>
      </c>
      <c r="E4" t="s">
        <v>186</v>
      </c>
      <c r="F4">
        <f t="array" aca="1" ref="F4" ca="1">SUM(IF(F$1&amp;$E4=Předmět&amp;Kancelář,Množství))</f>
        <v>2</v>
      </c>
      <c r="G4">
        <f t="array" aca="1" ref="G4" ca="1">SUM(IF(G$1&amp;$E4=Předmět&amp;Kancelář,Množství))</f>
        <v>12</v>
      </c>
      <c r="H4">
        <f t="array" aca="1" ref="H4" ca="1">SUM(IF(H$1&amp;$E4=Předmět&amp;Kancelář,Množství))</f>
        <v>15</v>
      </c>
      <c r="L4">
        <v>3</v>
      </c>
      <c r="M4">
        <f t="shared" si="0"/>
        <v>0.42336002417960161</v>
      </c>
      <c r="R4" s="3">
        <v>38355</v>
      </c>
      <c r="S4">
        <v>1050.5999999999999</v>
      </c>
    </row>
    <row r="5" spans="1:24" x14ac:dyDescent="0.2">
      <c r="A5" t="s">
        <v>182</v>
      </c>
      <c r="B5" t="s">
        <v>184</v>
      </c>
      <c r="C5">
        <v>9</v>
      </c>
      <c r="L5">
        <v>4</v>
      </c>
      <c r="M5">
        <f t="shared" si="0"/>
        <v>-3.0272099812317128</v>
      </c>
      <c r="R5" s="3">
        <v>38356</v>
      </c>
      <c r="S5">
        <v>1071.7</v>
      </c>
    </row>
    <row r="6" spans="1:24" x14ac:dyDescent="0.2">
      <c r="A6" t="s">
        <v>182</v>
      </c>
      <c r="B6" t="s">
        <v>185</v>
      </c>
      <c r="C6">
        <v>1</v>
      </c>
      <c r="E6">
        <f>COUNTA(A:A)</f>
        <v>19</v>
      </c>
      <c r="F6" t="s">
        <v>191</v>
      </c>
      <c r="L6">
        <v>5</v>
      </c>
      <c r="M6">
        <f t="shared" si="0"/>
        <v>-4.7946213733156924</v>
      </c>
      <c r="R6" s="3">
        <v>38357</v>
      </c>
      <c r="S6">
        <v>1073.4000000000001</v>
      </c>
    </row>
    <row r="7" spans="1:24" x14ac:dyDescent="0.2">
      <c r="A7" t="s">
        <v>182</v>
      </c>
      <c r="B7" t="s">
        <v>186</v>
      </c>
      <c r="C7">
        <v>2</v>
      </c>
      <c r="E7" t="str">
        <f ca="1">OFFSET(A1,1,0)</f>
        <v>tužka</v>
      </c>
      <c r="F7" t="s">
        <v>192</v>
      </c>
      <c r="L7">
        <v>6</v>
      </c>
      <c r="M7">
        <f t="shared" si="0"/>
        <v>-1.6764929891935552</v>
      </c>
      <c r="R7" s="3">
        <v>38358</v>
      </c>
      <c r="S7">
        <v>1061</v>
      </c>
    </row>
    <row r="8" spans="1:24" x14ac:dyDescent="0.2">
      <c r="A8" t="s">
        <v>182</v>
      </c>
      <c r="B8" t="s">
        <v>184</v>
      </c>
      <c r="C8">
        <v>7</v>
      </c>
      <c r="L8">
        <v>7</v>
      </c>
      <c r="M8">
        <f t="shared" si="0"/>
        <v>4.5989061910315234</v>
      </c>
      <c r="R8" s="3">
        <v>38359</v>
      </c>
      <c r="S8">
        <v>1071.0999999999999</v>
      </c>
    </row>
    <row r="9" spans="1:24" x14ac:dyDescent="0.2">
      <c r="A9" t="s">
        <v>182</v>
      </c>
      <c r="B9" t="s">
        <v>185</v>
      </c>
      <c r="C9">
        <v>8</v>
      </c>
      <c r="L9">
        <v>8</v>
      </c>
      <c r="M9">
        <f t="shared" si="0"/>
        <v>7.9148659729870543</v>
      </c>
      <c r="R9" s="3">
        <v>38360</v>
      </c>
      <c r="S9">
        <v>0</v>
      </c>
    </row>
    <row r="10" spans="1:24" x14ac:dyDescent="0.2">
      <c r="A10" t="s">
        <v>183</v>
      </c>
      <c r="B10" t="s">
        <v>186</v>
      </c>
      <c r="C10">
        <v>8</v>
      </c>
      <c r="E10" s="42" t="s">
        <v>180</v>
      </c>
      <c r="L10">
        <v>9</v>
      </c>
      <c r="M10">
        <f t="shared" si="0"/>
        <v>3.7090663671758093</v>
      </c>
      <c r="R10" s="3">
        <v>38361</v>
      </c>
      <c r="S10">
        <v>0</v>
      </c>
    </row>
    <row r="11" spans="1:24" x14ac:dyDescent="0.2">
      <c r="A11" t="s">
        <v>183</v>
      </c>
      <c r="B11" t="s">
        <v>184</v>
      </c>
      <c r="C11">
        <v>5</v>
      </c>
      <c r="E11" s="42" t="s">
        <v>181</v>
      </c>
      <c r="L11">
        <v>10</v>
      </c>
      <c r="M11">
        <f t="shared" si="0"/>
        <v>-5.4402111088936973</v>
      </c>
      <c r="R11" s="3">
        <v>38362</v>
      </c>
      <c r="S11">
        <v>1072.0999999999999</v>
      </c>
    </row>
    <row r="12" spans="1:24" x14ac:dyDescent="0.2">
      <c r="A12" t="s">
        <v>183</v>
      </c>
      <c r="B12" t="s">
        <v>185</v>
      </c>
      <c r="C12">
        <v>8</v>
      </c>
      <c r="L12">
        <v>11</v>
      </c>
      <c r="M12">
        <f t="shared" si="0"/>
        <v>-10.999892272057739</v>
      </c>
      <c r="R12" s="3">
        <v>38363</v>
      </c>
      <c r="S12">
        <v>1074.8</v>
      </c>
    </row>
    <row r="13" spans="1:24" x14ac:dyDescent="0.2">
      <c r="A13" t="s">
        <v>183</v>
      </c>
      <c r="B13" t="s">
        <v>186</v>
      </c>
      <c r="C13">
        <v>4</v>
      </c>
      <c r="L13">
        <v>12</v>
      </c>
      <c r="M13">
        <f t="shared" si="0"/>
        <v>-6.4388750160052197</v>
      </c>
      <c r="R13" s="3">
        <v>38364</v>
      </c>
      <c r="S13">
        <v>1066.5999999999999</v>
      </c>
    </row>
    <row r="14" spans="1:24" x14ac:dyDescent="0.2">
      <c r="A14" t="s">
        <v>187</v>
      </c>
      <c r="B14" t="s">
        <v>184</v>
      </c>
      <c r="C14">
        <v>1</v>
      </c>
      <c r="L14">
        <v>13</v>
      </c>
      <c r="M14">
        <f t="shared" si="0"/>
        <v>5.462171478746332</v>
      </c>
      <c r="R14" s="3">
        <v>38365</v>
      </c>
      <c r="S14">
        <v>1055.3</v>
      </c>
    </row>
    <row r="15" spans="1:24" x14ac:dyDescent="0.2">
      <c r="A15" t="s">
        <v>187</v>
      </c>
      <c r="B15" t="s">
        <v>185</v>
      </c>
      <c r="C15">
        <v>2</v>
      </c>
      <c r="L15">
        <v>14</v>
      </c>
      <c r="M15">
        <f t="shared" si="0"/>
        <v>13.868502979728184</v>
      </c>
      <c r="R15" s="3">
        <v>38366</v>
      </c>
      <c r="S15">
        <v>1060.9000000000001</v>
      </c>
    </row>
    <row r="16" spans="1:24" x14ac:dyDescent="0.2">
      <c r="A16" t="s">
        <v>187</v>
      </c>
      <c r="B16" t="s">
        <v>186</v>
      </c>
      <c r="C16">
        <v>3</v>
      </c>
      <c r="L16">
        <v>15</v>
      </c>
      <c r="M16">
        <f t="shared" si="0"/>
        <v>9.7543176023567533</v>
      </c>
      <c r="R16" s="3">
        <v>38367</v>
      </c>
      <c r="S16">
        <v>0</v>
      </c>
    </row>
    <row r="17" spans="1:19" x14ac:dyDescent="0.2">
      <c r="A17" t="s">
        <v>187</v>
      </c>
      <c r="B17" t="s">
        <v>184</v>
      </c>
      <c r="C17">
        <v>1</v>
      </c>
      <c r="L17">
        <v>16</v>
      </c>
      <c r="M17">
        <f t="shared" si="0"/>
        <v>-4.6064530666410448</v>
      </c>
      <c r="R17" s="3">
        <v>38368</v>
      </c>
      <c r="S17">
        <v>0</v>
      </c>
    </row>
    <row r="18" spans="1:19" x14ac:dyDescent="0.2">
      <c r="A18" t="s">
        <v>187</v>
      </c>
      <c r="B18" t="s">
        <v>185</v>
      </c>
      <c r="C18">
        <v>8</v>
      </c>
      <c r="L18">
        <v>17</v>
      </c>
      <c r="M18">
        <f t="shared" si="0"/>
        <v>-16.343757361952466</v>
      </c>
      <c r="R18" s="3">
        <v>38369</v>
      </c>
      <c r="S18">
        <v>1073.0999999999999</v>
      </c>
    </row>
    <row r="19" spans="1:19" x14ac:dyDescent="0.2">
      <c r="A19" t="s">
        <v>187</v>
      </c>
      <c r="B19" t="s">
        <v>186</v>
      </c>
      <c r="C19">
        <v>6</v>
      </c>
      <c r="L19">
        <v>18</v>
      </c>
      <c r="M19">
        <f t="shared" si="0"/>
        <v>-13.517770441890169</v>
      </c>
      <c r="R19" s="3">
        <v>38370</v>
      </c>
      <c r="S19">
        <v>1068.5</v>
      </c>
    </row>
    <row r="20" spans="1:19" x14ac:dyDescent="0.2">
      <c r="L20">
        <v>19</v>
      </c>
      <c r="M20">
        <f t="shared" si="0"/>
        <v>2.8476669835960946</v>
      </c>
      <c r="R20" s="3">
        <v>38371</v>
      </c>
      <c r="S20">
        <v>1061.0999999999999</v>
      </c>
    </row>
    <row r="21" spans="1:19" x14ac:dyDescent="0.2">
      <c r="L21">
        <v>20</v>
      </c>
      <c r="M21">
        <f t="shared" si="0"/>
        <v>18.258905014552553</v>
      </c>
      <c r="R21" s="3">
        <v>38372</v>
      </c>
      <c r="S21">
        <v>1053.3</v>
      </c>
    </row>
    <row r="22" spans="1:19" x14ac:dyDescent="0.2">
      <c r="L22">
        <v>21</v>
      </c>
      <c r="M22">
        <f t="shared" si="0"/>
        <v>17.569768409257179</v>
      </c>
      <c r="R22" s="3">
        <v>38373</v>
      </c>
      <c r="S22">
        <v>1056.2</v>
      </c>
    </row>
    <row r="23" spans="1:19" x14ac:dyDescent="0.2">
      <c r="L23">
        <v>22</v>
      </c>
      <c r="M23">
        <f t="shared" si="0"/>
        <v>-0.19472880438888529</v>
      </c>
      <c r="R23" s="3">
        <v>38374</v>
      </c>
      <c r="S23">
        <v>0</v>
      </c>
    </row>
    <row r="24" spans="1:19" x14ac:dyDescent="0.2">
      <c r="L24">
        <v>23</v>
      </c>
      <c r="M24">
        <f t="shared" si="0"/>
        <v>-19.463069296028923</v>
      </c>
      <c r="R24" s="3">
        <v>38375</v>
      </c>
      <c r="S24">
        <v>0</v>
      </c>
    </row>
    <row r="25" spans="1:19" x14ac:dyDescent="0.2">
      <c r="L25">
        <v>24</v>
      </c>
      <c r="M25">
        <f t="shared" si="0"/>
        <v>-21.733880688158973</v>
      </c>
      <c r="R25" s="3">
        <v>38376</v>
      </c>
      <c r="S25">
        <v>1063.2</v>
      </c>
    </row>
    <row r="26" spans="1:19" x14ac:dyDescent="0.2">
      <c r="L26">
        <v>25</v>
      </c>
      <c r="M26">
        <f t="shared" si="0"/>
        <v>-3.3087937524443256</v>
      </c>
      <c r="R26" s="3">
        <v>38377</v>
      </c>
      <c r="S26">
        <v>1094.4000000000001</v>
      </c>
    </row>
    <row r="27" spans="1:19" x14ac:dyDescent="0.2">
      <c r="L27">
        <v>26</v>
      </c>
      <c r="M27">
        <f t="shared" si="0"/>
        <v>19.826519712469668</v>
      </c>
      <c r="R27" s="3">
        <v>38378</v>
      </c>
      <c r="S27">
        <v>1098.3</v>
      </c>
    </row>
    <row r="28" spans="1:19" x14ac:dyDescent="0.2">
      <c r="L28">
        <v>27</v>
      </c>
      <c r="M28">
        <f t="shared" si="0"/>
        <v>25.82215006692158</v>
      </c>
      <c r="R28" s="3">
        <v>38379</v>
      </c>
      <c r="S28">
        <v>1094.2</v>
      </c>
    </row>
    <row r="29" spans="1:19" x14ac:dyDescent="0.2">
      <c r="L29">
        <v>28</v>
      </c>
      <c r="M29">
        <f t="shared" si="0"/>
        <v>7.5853620726203328</v>
      </c>
      <c r="R29" s="3">
        <v>38380</v>
      </c>
      <c r="S29">
        <v>1102.2</v>
      </c>
    </row>
    <row r="30" spans="1:19" x14ac:dyDescent="0.2">
      <c r="L30">
        <v>29</v>
      </c>
      <c r="M30">
        <f t="shared" si="0"/>
        <v>-19.245382642176057</v>
      </c>
      <c r="R30" s="3">
        <v>38381</v>
      </c>
      <c r="S30">
        <v>0</v>
      </c>
    </row>
    <row r="31" spans="1:19" x14ac:dyDescent="0.2">
      <c r="L31">
        <v>30</v>
      </c>
      <c r="M31">
        <f t="shared" si="0"/>
        <v>-29.640948722785854</v>
      </c>
      <c r="R31" s="3">
        <v>38382</v>
      </c>
      <c r="S31">
        <v>0</v>
      </c>
    </row>
    <row r="32" spans="1:19" x14ac:dyDescent="0.2">
      <c r="L32">
        <v>31</v>
      </c>
      <c r="M32">
        <f t="shared" si="0"/>
        <v>-12.525167005015016</v>
      </c>
      <c r="R32" s="3">
        <v>38383</v>
      </c>
      <c r="S32">
        <v>1096.2</v>
      </c>
    </row>
    <row r="33" spans="12:19" x14ac:dyDescent="0.2">
      <c r="L33">
        <v>32</v>
      </c>
      <c r="M33">
        <f t="shared" si="0"/>
        <v>17.645653799734099</v>
      </c>
      <c r="R33" s="3">
        <v>38384</v>
      </c>
      <c r="S33">
        <v>1106.5999999999999</v>
      </c>
    </row>
    <row r="34" spans="12:19" x14ac:dyDescent="0.2">
      <c r="L34">
        <v>33</v>
      </c>
      <c r="M34">
        <f t="shared" si="0"/>
        <v>32.997091383539818</v>
      </c>
      <c r="R34" s="3">
        <v>38385</v>
      </c>
      <c r="S34">
        <v>1102.7</v>
      </c>
    </row>
    <row r="35" spans="12:19" x14ac:dyDescent="0.2">
      <c r="L35">
        <v>34</v>
      </c>
      <c r="M35">
        <f t="shared" si="0"/>
        <v>17.988811328080811</v>
      </c>
      <c r="R35" s="3">
        <v>38386</v>
      </c>
      <c r="S35">
        <v>1106.7</v>
      </c>
    </row>
    <row r="36" spans="12:19" x14ac:dyDescent="0.2">
      <c r="L36">
        <v>35</v>
      </c>
      <c r="M36">
        <f t="shared" si="0"/>
        <v>-14.986393432365286</v>
      </c>
      <c r="R36" s="3">
        <v>38387</v>
      </c>
      <c r="S36">
        <v>1105.3</v>
      </c>
    </row>
    <row r="37" spans="12:19" x14ac:dyDescent="0.2">
      <c r="L37">
        <v>36</v>
      </c>
      <c r="M37">
        <f t="shared" si="0"/>
        <v>-35.704038723952166</v>
      </c>
      <c r="R37" s="3">
        <v>38388</v>
      </c>
      <c r="S37">
        <v>0</v>
      </c>
    </row>
    <row r="38" spans="12:19" x14ac:dyDescent="0.2">
      <c r="L38">
        <v>37</v>
      </c>
      <c r="M38">
        <f t="shared" si="0"/>
        <v>-23.81091093420898</v>
      </c>
      <c r="R38" s="3">
        <v>38389</v>
      </c>
      <c r="S38">
        <v>0</v>
      </c>
    </row>
    <row r="39" spans="12:19" x14ac:dyDescent="0.2">
      <c r="L39">
        <v>38</v>
      </c>
      <c r="M39">
        <f t="shared" si="0"/>
        <v>11.262005990956641</v>
      </c>
      <c r="R39" s="3">
        <v>38390</v>
      </c>
      <c r="S39">
        <v>1108.8</v>
      </c>
    </row>
    <row r="40" spans="12:19" x14ac:dyDescent="0.2">
      <c r="L40">
        <v>39</v>
      </c>
      <c r="M40">
        <f t="shared" si="0"/>
        <v>37.588020065079427</v>
      </c>
      <c r="R40" s="3">
        <v>38391</v>
      </c>
      <c r="S40">
        <v>1118.0999999999999</v>
      </c>
    </row>
    <row r="41" spans="12:19" x14ac:dyDescent="0.2">
      <c r="L41">
        <v>40</v>
      </c>
      <c r="M41">
        <f t="shared" si="0"/>
        <v>29.804526419173953</v>
      </c>
      <c r="R41" s="3">
        <v>38392</v>
      </c>
      <c r="S41">
        <v>1121.0999999999999</v>
      </c>
    </row>
    <row r="42" spans="12:19" x14ac:dyDescent="0.2">
      <c r="L42">
        <v>41</v>
      </c>
      <c r="M42">
        <f t="shared" si="0"/>
        <v>-6.5035294209930683</v>
      </c>
      <c r="R42" s="3">
        <v>38393</v>
      </c>
      <c r="S42">
        <v>1118</v>
      </c>
    </row>
    <row r="43" spans="12:19" x14ac:dyDescent="0.2">
      <c r="L43">
        <v>42</v>
      </c>
      <c r="M43">
        <f t="shared" si="0"/>
        <v>-38.493905012456622</v>
      </c>
      <c r="R43" s="3">
        <v>38394</v>
      </c>
      <c r="S43">
        <v>1135.5999999999999</v>
      </c>
    </row>
    <row r="44" spans="12:19" x14ac:dyDescent="0.2">
      <c r="L44">
        <v>43</v>
      </c>
      <c r="M44">
        <f t="shared" si="0"/>
        <v>-35.766313933029728</v>
      </c>
      <c r="R44" s="3">
        <v>38395</v>
      </c>
      <c r="S44">
        <v>0</v>
      </c>
    </row>
    <row r="45" spans="12:19" x14ac:dyDescent="0.2">
      <c r="L45">
        <v>44</v>
      </c>
      <c r="M45">
        <f t="shared" si="0"/>
        <v>0.77888470463819737</v>
      </c>
      <c r="R45" s="3">
        <v>38396</v>
      </c>
      <c r="S45">
        <v>0</v>
      </c>
    </row>
    <row r="46" spans="12:19" x14ac:dyDescent="0.2">
      <c r="L46">
        <v>45</v>
      </c>
      <c r="M46">
        <f t="shared" si="0"/>
        <v>38.290658604035329</v>
      </c>
      <c r="R46" s="3">
        <v>38397</v>
      </c>
      <c r="S46">
        <v>1141.5999999999999</v>
      </c>
    </row>
    <row r="47" spans="12:19" x14ac:dyDescent="0.2">
      <c r="L47">
        <v>46</v>
      </c>
      <c r="M47">
        <f t="shared" si="0"/>
        <v>41.482263991845223</v>
      </c>
      <c r="R47" s="3">
        <v>38398</v>
      </c>
      <c r="S47">
        <v>1142.4000000000001</v>
      </c>
    </row>
    <row r="48" spans="12:19" x14ac:dyDescent="0.2">
      <c r="L48">
        <v>47</v>
      </c>
      <c r="M48">
        <f t="shared" si="0"/>
        <v>5.8079367690255284</v>
      </c>
      <c r="R48" s="3">
        <v>38399</v>
      </c>
      <c r="S48">
        <v>1148.5999999999999</v>
      </c>
    </row>
    <row r="49" spans="12:19" x14ac:dyDescent="0.2">
      <c r="L49">
        <v>48</v>
      </c>
      <c r="M49">
        <f t="shared" si="0"/>
        <v>-36.876223743536009</v>
      </c>
      <c r="R49" s="3">
        <v>38400</v>
      </c>
      <c r="S49">
        <v>1139.7</v>
      </c>
    </row>
    <row r="50" spans="12:19" x14ac:dyDescent="0.2">
      <c r="L50">
        <v>49</v>
      </c>
      <c r="M50">
        <f t="shared" si="0"/>
        <v>-46.733879985214124</v>
      </c>
      <c r="R50" s="3">
        <v>38401</v>
      </c>
      <c r="S50">
        <v>1147.9000000000001</v>
      </c>
    </row>
    <row r="51" spans="12:19" x14ac:dyDescent="0.2">
      <c r="L51">
        <v>50</v>
      </c>
      <c r="M51">
        <f t="shared" si="0"/>
        <v>-13.118742685196437</v>
      </c>
      <c r="R51" s="3">
        <v>38402</v>
      </c>
      <c r="S51">
        <v>0</v>
      </c>
    </row>
    <row r="52" spans="12:19" x14ac:dyDescent="0.2">
      <c r="R52" s="3">
        <v>38403</v>
      </c>
      <c r="S52">
        <v>0</v>
      </c>
    </row>
    <row r="53" spans="12:19" x14ac:dyDescent="0.2">
      <c r="R53" s="3">
        <v>38404</v>
      </c>
      <c r="S53">
        <v>1161.2</v>
      </c>
    </row>
    <row r="54" spans="12:19" x14ac:dyDescent="0.2">
      <c r="R54" s="3">
        <v>38405</v>
      </c>
      <c r="S54">
        <v>1176.5999999999999</v>
      </c>
    </row>
    <row r="55" spans="12:19" x14ac:dyDescent="0.2">
      <c r="R55" s="3">
        <v>38406</v>
      </c>
      <c r="S55">
        <v>1174</v>
      </c>
    </row>
    <row r="56" spans="12:19" x14ac:dyDescent="0.2">
      <c r="R56" s="3">
        <v>38407</v>
      </c>
      <c r="S56">
        <v>1171.9000000000001</v>
      </c>
    </row>
    <row r="57" spans="12:19" x14ac:dyDescent="0.2">
      <c r="R57" s="3">
        <v>38408</v>
      </c>
      <c r="S57">
        <v>1187.9000000000001</v>
      </c>
    </row>
    <row r="58" spans="12:19" x14ac:dyDescent="0.2">
      <c r="R58" s="3">
        <v>38409</v>
      </c>
      <c r="S58">
        <v>0</v>
      </c>
    </row>
    <row r="59" spans="12:19" x14ac:dyDescent="0.2">
      <c r="R59" s="3">
        <v>38410</v>
      </c>
      <c r="S59">
        <v>0</v>
      </c>
    </row>
    <row r="60" spans="12:19" x14ac:dyDescent="0.2">
      <c r="R60" s="3">
        <v>38411</v>
      </c>
      <c r="S60">
        <v>1199.9000000000001</v>
      </c>
    </row>
    <row r="61" spans="12:19" x14ac:dyDescent="0.2">
      <c r="R61" s="3">
        <v>38412</v>
      </c>
      <c r="S61">
        <v>1212.9000000000001</v>
      </c>
    </row>
    <row r="62" spans="12:19" x14ac:dyDescent="0.2">
      <c r="R62" s="3">
        <v>38413</v>
      </c>
      <c r="S62">
        <v>1211.3</v>
      </c>
    </row>
    <row r="63" spans="12:19" x14ac:dyDescent="0.2">
      <c r="R63" s="3">
        <v>38414</v>
      </c>
      <c r="S63">
        <v>1205.0999999999999</v>
      </c>
    </row>
    <row r="64" spans="12:19" x14ac:dyDescent="0.2">
      <c r="R64" s="3">
        <v>38415</v>
      </c>
      <c r="S64">
        <v>1217.5999999999999</v>
      </c>
    </row>
    <row r="65" spans="18:19" x14ac:dyDescent="0.2">
      <c r="R65" s="3">
        <v>38416</v>
      </c>
      <c r="S65">
        <v>0</v>
      </c>
    </row>
    <row r="66" spans="18:19" x14ac:dyDescent="0.2">
      <c r="R66" s="3">
        <v>38417</v>
      </c>
      <c r="S66">
        <v>0</v>
      </c>
    </row>
    <row r="67" spans="18:19" x14ac:dyDescent="0.2">
      <c r="R67" s="3">
        <v>38418</v>
      </c>
      <c r="S67">
        <v>1250.4000000000001</v>
      </c>
    </row>
    <row r="68" spans="18:19" x14ac:dyDescent="0.2">
      <c r="R68" s="3">
        <v>38419</v>
      </c>
      <c r="S68">
        <v>1240.9000000000001</v>
      </c>
    </row>
    <row r="69" spans="18:19" x14ac:dyDescent="0.2">
      <c r="R69" s="3">
        <v>38420</v>
      </c>
      <c r="S69">
        <v>1250.0999999999999</v>
      </c>
    </row>
    <row r="70" spans="18:19" x14ac:dyDescent="0.2">
      <c r="R70" s="3">
        <v>38421</v>
      </c>
      <c r="S70">
        <v>1262.7</v>
      </c>
    </row>
    <row r="71" spans="18:19" x14ac:dyDescent="0.2">
      <c r="R71" s="3">
        <v>38422</v>
      </c>
      <c r="S71">
        <v>1255.8</v>
      </c>
    </row>
    <row r="72" spans="18:19" x14ac:dyDescent="0.2">
      <c r="R72" s="3">
        <v>38423</v>
      </c>
      <c r="S72">
        <v>0</v>
      </c>
    </row>
    <row r="73" spans="18:19" x14ac:dyDescent="0.2">
      <c r="R73" s="3">
        <v>38424</v>
      </c>
      <c r="S73">
        <v>0</v>
      </c>
    </row>
    <row r="74" spans="18:19" x14ac:dyDescent="0.2">
      <c r="R74" s="3">
        <v>38425</v>
      </c>
      <c r="S74">
        <v>1220.0999999999999</v>
      </c>
    </row>
    <row r="75" spans="18:19" x14ac:dyDescent="0.2">
      <c r="R75" s="3">
        <v>38426</v>
      </c>
      <c r="S75">
        <v>1214.0999999999999</v>
      </c>
    </row>
    <row r="76" spans="18:19" x14ac:dyDescent="0.2">
      <c r="R76" s="3">
        <v>38427</v>
      </c>
      <c r="S76">
        <v>1143.4000000000001</v>
      </c>
    </row>
    <row r="77" spans="18:19" x14ac:dyDescent="0.2">
      <c r="R77" s="3">
        <v>38428</v>
      </c>
      <c r="S77">
        <v>1131.7</v>
      </c>
    </row>
    <row r="78" spans="18:19" x14ac:dyDescent="0.2">
      <c r="R78" s="3">
        <v>38429</v>
      </c>
      <c r="S78">
        <v>1137.7</v>
      </c>
    </row>
    <row r="79" spans="18:19" x14ac:dyDescent="0.2">
      <c r="R79" s="3">
        <v>38430</v>
      </c>
      <c r="S79">
        <v>0</v>
      </c>
    </row>
    <row r="80" spans="18:19" x14ac:dyDescent="0.2">
      <c r="R80" s="3">
        <v>38431</v>
      </c>
      <c r="S80">
        <v>0</v>
      </c>
    </row>
    <row r="81" spans="18:19" x14ac:dyDescent="0.2">
      <c r="R81" s="3">
        <v>38432</v>
      </c>
      <c r="S81">
        <v>1117.4000000000001</v>
      </c>
    </row>
    <row r="82" spans="18:19" x14ac:dyDescent="0.2">
      <c r="R82" s="3">
        <v>38433</v>
      </c>
      <c r="S82">
        <v>1147.5999999999999</v>
      </c>
    </row>
    <row r="83" spans="18:19" x14ac:dyDescent="0.2">
      <c r="R83" s="3">
        <v>38434</v>
      </c>
      <c r="S83">
        <v>1145</v>
      </c>
    </row>
    <row r="84" spans="18:19" x14ac:dyDescent="0.2">
      <c r="R84" s="3">
        <v>38435</v>
      </c>
      <c r="S84">
        <v>1170.0999999999999</v>
      </c>
    </row>
    <row r="85" spans="18:19" x14ac:dyDescent="0.2">
      <c r="R85" s="3">
        <v>38436</v>
      </c>
      <c r="S85">
        <v>1175.2</v>
      </c>
    </row>
    <row r="86" spans="18:19" x14ac:dyDescent="0.2">
      <c r="R86" s="3">
        <v>38437</v>
      </c>
      <c r="S86">
        <v>0</v>
      </c>
    </row>
    <row r="87" spans="18:19" x14ac:dyDescent="0.2">
      <c r="R87" s="3">
        <v>38438</v>
      </c>
      <c r="S87">
        <v>0</v>
      </c>
    </row>
    <row r="88" spans="18:19" x14ac:dyDescent="0.2">
      <c r="R88" s="3">
        <v>38439</v>
      </c>
      <c r="S88">
        <v>0</v>
      </c>
    </row>
    <row r="89" spans="18:19" x14ac:dyDescent="0.2">
      <c r="R89" s="3">
        <v>38440</v>
      </c>
      <c r="S89">
        <v>1162</v>
      </c>
    </row>
    <row r="90" spans="18:19" x14ac:dyDescent="0.2">
      <c r="R90" s="3">
        <v>38441</v>
      </c>
      <c r="S90">
        <v>1137.2</v>
      </c>
    </row>
    <row r="91" spans="18:19" x14ac:dyDescent="0.2">
      <c r="R91" s="3">
        <v>38442</v>
      </c>
      <c r="S91">
        <v>1168.4000000000001</v>
      </c>
    </row>
    <row r="92" spans="18:19" x14ac:dyDescent="0.2">
      <c r="R92" s="3">
        <v>38443</v>
      </c>
      <c r="S92">
        <v>1168.9000000000001</v>
      </c>
    </row>
    <row r="93" spans="18:19" x14ac:dyDescent="0.2">
      <c r="R93" s="3">
        <v>38444</v>
      </c>
      <c r="S93">
        <v>0</v>
      </c>
    </row>
    <row r="94" spans="18:19" x14ac:dyDescent="0.2">
      <c r="R94" s="3">
        <v>38445</v>
      </c>
      <c r="S94">
        <v>0</v>
      </c>
    </row>
    <row r="95" spans="18:19" x14ac:dyDescent="0.2">
      <c r="R95" s="3">
        <v>38446</v>
      </c>
      <c r="S95">
        <v>1161.4000000000001</v>
      </c>
    </row>
    <row r="96" spans="18:19" x14ac:dyDescent="0.2">
      <c r="R96" s="3">
        <v>38447</v>
      </c>
      <c r="S96">
        <v>1177.0999999999999</v>
      </c>
    </row>
    <row r="97" spans="18:19" x14ac:dyDescent="0.2">
      <c r="R97" s="3">
        <v>38448</v>
      </c>
      <c r="S97">
        <v>1186.0999999999999</v>
      </c>
    </row>
    <row r="98" spans="18:19" x14ac:dyDescent="0.2">
      <c r="R98" s="3">
        <v>38449</v>
      </c>
      <c r="S98">
        <v>1188.7</v>
      </c>
    </row>
    <row r="99" spans="18:19" x14ac:dyDescent="0.2">
      <c r="R99" s="3">
        <v>38450</v>
      </c>
      <c r="S99">
        <v>1191.7</v>
      </c>
    </row>
    <row r="100" spans="18:19" x14ac:dyDescent="0.2">
      <c r="R100" s="3">
        <v>38451</v>
      </c>
      <c r="S100">
        <v>0</v>
      </c>
    </row>
    <row r="101" spans="18:19" x14ac:dyDescent="0.2">
      <c r="R101" s="3">
        <v>38452</v>
      </c>
      <c r="S101">
        <v>0</v>
      </c>
    </row>
    <row r="102" spans="18:19" x14ac:dyDescent="0.2">
      <c r="R102" s="3">
        <v>38453</v>
      </c>
      <c r="S102">
        <v>1188.2</v>
      </c>
    </row>
    <row r="103" spans="18:19" x14ac:dyDescent="0.2">
      <c r="R103" s="3">
        <v>38454</v>
      </c>
      <c r="S103">
        <v>1191.9000000000001</v>
      </c>
    </row>
    <row r="104" spans="18:19" x14ac:dyDescent="0.2">
      <c r="R104" s="3">
        <v>38455</v>
      </c>
      <c r="S104">
        <v>1199.9000000000001</v>
      </c>
    </row>
    <row r="105" spans="18:19" x14ac:dyDescent="0.2">
      <c r="R105" s="3">
        <v>38456</v>
      </c>
      <c r="S105">
        <v>1197.2</v>
      </c>
    </row>
    <row r="106" spans="18:19" x14ac:dyDescent="0.2">
      <c r="R106" s="3">
        <v>38457</v>
      </c>
      <c r="S106">
        <v>1186.3</v>
      </c>
    </row>
    <row r="107" spans="18:19" x14ac:dyDescent="0.2">
      <c r="R107" s="3">
        <v>38458</v>
      </c>
      <c r="S107">
        <v>0</v>
      </c>
    </row>
    <row r="108" spans="18:19" x14ac:dyDescent="0.2">
      <c r="R108" s="3">
        <v>38459</v>
      </c>
      <c r="S108">
        <v>0</v>
      </c>
    </row>
    <row r="109" spans="18:19" x14ac:dyDescent="0.2">
      <c r="R109" s="3">
        <v>38460</v>
      </c>
      <c r="S109">
        <v>1164.4000000000001</v>
      </c>
    </row>
    <row r="110" spans="18:19" x14ac:dyDescent="0.2">
      <c r="R110" s="3">
        <v>38461</v>
      </c>
      <c r="S110">
        <v>1170.5999999999999</v>
      </c>
    </row>
    <row r="111" spans="18:19" x14ac:dyDescent="0.2">
      <c r="R111" s="3">
        <v>38462</v>
      </c>
      <c r="S111">
        <v>1163.8</v>
      </c>
    </row>
    <row r="112" spans="18:19" x14ac:dyDescent="0.2">
      <c r="R112" s="3">
        <v>38463</v>
      </c>
      <c r="S112">
        <v>1160.7</v>
      </c>
    </row>
    <row r="113" spans="18:19" x14ac:dyDescent="0.2">
      <c r="R113" s="3">
        <v>38464</v>
      </c>
      <c r="S113">
        <v>1169.7</v>
      </c>
    </row>
    <row r="114" spans="18:19" x14ac:dyDescent="0.2">
      <c r="R114" s="3">
        <v>38465</v>
      </c>
      <c r="S114">
        <v>0</v>
      </c>
    </row>
    <row r="115" spans="18:19" x14ac:dyDescent="0.2">
      <c r="R115" s="3">
        <v>38466</v>
      </c>
      <c r="S115">
        <v>0</v>
      </c>
    </row>
    <row r="116" spans="18:19" x14ac:dyDescent="0.2">
      <c r="R116" s="3">
        <v>38467</v>
      </c>
      <c r="S116">
        <v>1164.7</v>
      </c>
    </row>
    <row r="117" spans="18:19" x14ac:dyDescent="0.2">
      <c r="R117" s="3">
        <v>38468</v>
      </c>
      <c r="S117">
        <v>1169.7</v>
      </c>
    </row>
    <row r="118" spans="18:19" x14ac:dyDescent="0.2">
      <c r="R118" s="3">
        <v>38469</v>
      </c>
      <c r="S118">
        <v>1142.8</v>
      </c>
    </row>
    <row r="119" spans="18:19" x14ac:dyDescent="0.2">
      <c r="R119" s="3">
        <v>38470</v>
      </c>
      <c r="S119">
        <v>1129.9000000000001</v>
      </c>
    </row>
    <row r="120" spans="18:19" x14ac:dyDescent="0.2">
      <c r="R120" s="3">
        <v>38471</v>
      </c>
      <c r="S120">
        <v>1136.5</v>
      </c>
    </row>
    <row r="121" spans="18:19" x14ac:dyDescent="0.2">
      <c r="R121" s="3">
        <v>38472</v>
      </c>
      <c r="S121">
        <v>0</v>
      </c>
    </row>
    <row r="122" spans="18:19" x14ac:dyDescent="0.2">
      <c r="R122" s="3">
        <v>38473</v>
      </c>
      <c r="S122">
        <v>0</v>
      </c>
    </row>
    <row r="123" spans="18:19" x14ac:dyDescent="0.2">
      <c r="R123" s="3">
        <v>38474</v>
      </c>
      <c r="S123">
        <v>1145.5999999999999</v>
      </c>
    </row>
    <row r="124" spans="18:19" x14ac:dyDescent="0.2">
      <c r="R124" s="3">
        <v>38475</v>
      </c>
      <c r="S124">
        <v>1135.4000000000001</v>
      </c>
    </row>
    <row r="125" spans="18:19" x14ac:dyDescent="0.2">
      <c r="R125" s="3">
        <v>38476</v>
      </c>
      <c r="S125">
        <v>1111.2</v>
      </c>
    </row>
    <row r="126" spans="18:19" x14ac:dyDescent="0.2">
      <c r="R126" s="3">
        <v>38477</v>
      </c>
      <c r="S126">
        <v>1117.2</v>
      </c>
    </row>
    <row r="127" spans="18:19" x14ac:dyDescent="0.2">
      <c r="R127" s="3">
        <v>38478</v>
      </c>
      <c r="S127">
        <v>1116.7</v>
      </c>
    </row>
    <row r="128" spans="18:19" x14ac:dyDescent="0.2">
      <c r="R128" s="3">
        <v>38479</v>
      </c>
      <c r="S128">
        <v>0</v>
      </c>
    </row>
    <row r="129" spans="18:19" x14ac:dyDescent="0.2">
      <c r="R129" s="3">
        <v>38480</v>
      </c>
      <c r="S129">
        <v>0</v>
      </c>
    </row>
    <row r="130" spans="18:19" x14ac:dyDescent="0.2">
      <c r="R130" s="3">
        <v>38481</v>
      </c>
      <c r="S130">
        <v>1127.9000000000001</v>
      </c>
    </row>
    <row r="131" spans="18:19" x14ac:dyDescent="0.2">
      <c r="R131" s="3">
        <v>38482</v>
      </c>
      <c r="S131">
        <v>1121.4000000000001</v>
      </c>
    </row>
    <row r="132" spans="18:19" x14ac:dyDescent="0.2">
      <c r="R132" s="3">
        <v>38483</v>
      </c>
      <c r="S132">
        <v>1113.5999999999999</v>
      </c>
    </row>
    <row r="133" spans="18:19" x14ac:dyDescent="0.2">
      <c r="R133" s="3">
        <v>38484</v>
      </c>
      <c r="S133">
        <v>1099.9000000000001</v>
      </c>
    </row>
    <row r="134" spans="18:19" x14ac:dyDescent="0.2">
      <c r="R134" s="3">
        <v>38485</v>
      </c>
      <c r="S134">
        <v>1084.5999999999999</v>
      </c>
    </row>
    <row r="135" spans="18:19" x14ac:dyDescent="0.2">
      <c r="R135" s="3">
        <v>38486</v>
      </c>
      <c r="S135">
        <v>0</v>
      </c>
    </row>
    <row r="136" spans="18:19" x14ac:dyDescent="0.2">
      <c r="R136" s="3">
        <v>38487</v>
      </c>
      <c r="S136">
        <v>0</v>
      </c>
    </row>
    <row r="137" spans="18:19" x14ac:dyDescent="0.2">
      <c r="R137" s="3">
        <v>38488</v>
      </c>
      <c r="S137">
        <v>1068.5999999999999</v>
      </c>
    </row>
    <row r="138" spans="18:19" x14ac:dyDescent="0.2">
      <c r="R138" s="3">
        <v>38489</v>
      </c>
      <c r="S138">
        <v>1071.7</v>
      </c>
    </row>
    <row r="139" spans="18:19" x14ac:dyDescent="0.2">
      <c r="R139" s="3">
        <v>38490</v>
      </c>
      <c r="S139">
        <v>1110.8</v>
      </c>
    </row>
    <row r="140" spans="18:19" x14ac:dyDescent="0.2">
      <c r="R140" s="3">
        <v>38491</v>
      </c>
      <c r="S140">
        <v>1128.9000000000001</v>
      </c>
    </row>
    <row r="141" spans="18:19" x14ac:dyDescent="0.2">
      <c r="R141" s="3">
        <v>38492</v>
      </c>
      <c r="S141">
        <v>1137.4000000000001</v>
      </c>
    </row>
    <row r="142" spans="18:19" x14ac:dyDescent="0.2">
      <c r="R142" s="3">
        <v>38493</v>
      </c>
      <c r="S142">
        <v>0</v>
      </c>
    </row>
    <row r="143" spans="18:19" x14ac:dyDescent="0.2">
      <c r="R143" s="3">
        <v>38494</v>
      </c>
      <c r="S143">
        <v>0</v>
      </c>
    </row>
    <row r="144" spans="18:19" x14ac:dyDescent="0.2">
      <c r="R144" s="3">
        <v>38495</v>
      </c>
      <c r="S144">
        <v>1139.2</v>
      </c>
    </row>
    <row r="145" spans="18:19" x14ac:dyDescent="0.2">
      <c r="R145" s="3">
        <v>38496</v>
      </c>
      <c r="S145">
        <v>1136.5</v>
      </c>
    </row>
    <row r="146" spans="18:19" x14ac:dyDescent="0.2">
      <c r="R146" s="3">
        <v>38497</v>
      </c>
      <c r="S146">
        <v>1121.3</v>
      </c>
    </row>
    <row r="147" spans="18:19" x14ac:dyDescent="0.2">
      <c r="R147" s="3">
        <v>38498</v>
      </c>
      <c r="S147">
        <v>1128.7</v>
      </c>
    </row>
    <row r="148" spans="18:19" x14ac:dyDescent="0.2">
      <c r="R148" s="3">
        <v>38499</v>
      </c>
      <c r="S148">
        <v>1139.0999999999999</v>
      </c>
    </row>
    <row r="149" spans="18:19" x14ac:dyDescent="0.2">
      <c r="R149" s="3">
        <v>38500</v>
      </c>
      <c r="S149">
        <v>0</v>
      </c>
    </row>
    <row r="150" spans="18:19" x14ac:dyDescent="0.2">
      <c r="R150" s="3">
        <v>38501</v>
      </c>
      <c r="S150">
        <v>0</v>
      </c>
    </row>
    <row r="151" spans="18:19" x14ac:dyDescent="0.2">
      <c r="R151" s="3">
        <v>38502</v>
      </c>
      <c r="S151">
        <v>1141.7</v>
      </c>
    </row>
    <row r="152" spans="18:19" x14ac:dyDescent="0.2">
      <c r="R152" s="3">
        <v>38503</v>
      </c>
      <c r="S152">
        <v>1156.0999999999999</v>
      </c>
    </row>
    <row r="153" spans="18:19" x14ac:dyDescent="0.2">
      <c r="R153" s="3">
        <v>38504</v>
      </c>
      <c r="S153">
        <v>1158.5</v>
      </c>
    </row>
    <row r="154" spans="18:19" x14ac:dyDescent="0.2">
      <c r="R154" s="3">
        <v>38505</v>
      </c>
      <c r="S154">
        <v>1166.4000000000001</v>
      </c>
    </row>
    <row r="155" spans="18:19" x14ac:dyDescent="0.2">
      <c r="R155" s="3">
        <v>38506</v>
      </c>
      <c r="S155">
        <v>1162.0999999999999</v>
      </c>
    </row>
    <row r="156" spans="18:19" x14ac:dyDescent="0.2">
      <c r="R156" s="3">
        <v>38507</v>
      </c>
      <c r="S156">
        <v>0</v>
      </c>
    </row>
    <row r="157" spans="18:19" x14ac:dyDescent="0.2">
      <c r="R157" s="3">
        <v>38508</v>
      </c>
      <c r="S157">
        <v>0</v>
      </c>
    </row>
    <row r="158" spans="18:19" x14ac:dyDescent="0.2">
      <c r="R158" s="3">
        <v>38509</v>
      </c>
      <c r="S158">
        <v>1159.4000000000001</v>
      </c>
    </row>
    <row r="159" spans="18:19" x14ac:dyDescent="0.2">
      <c r="R159" s="3">
        <v>38510</v>
      </c>
      <c r="S159">
        <v>1165.9000000000001</v>
      </c>
    </row>
    <row r="160" spans="18:19" x14ac:dyDescent="0.2">
      <c r="R160" s="3">
        <v>38511</v>
      </c>
      <c r="S160">
        <v>1176.9000000000001</v>
      </c>
    </row>
    <row r="161" spans="18:19" x14ac:dyDescent="0.2">
      <c r="R161" s="3">
        <v>38512</v>
      </c>
      <c r="S161">
        <v>1187.8</v>
      </c>
    </row>
    <row r="162" spans="18:19" x14ac:dyDescent="0.2">
      <c r="R162" s="3">
        <v>38513</v>
      </c>
      <c r="S162">
        <v>1191.3</v>
      </c>
    </row>
    <row r="163" spans="18:19" x14ac:dyDescent="0.2">
      <c r="R163" s="3">
        <v>38514</v>
      </c>
      <c r="S163">
        <v>0</v>
      </c>
    </row>
    <row r="164" spans="18:19" x14ac:dyDescent="0.2">
      <c r="R164" s="3">
        <v>38515</v>
      </c>
      <c r="S164">
        <v>0</v>
      </c>
    </row>
    <row r="165" spans="18:19" x14ac:dyDescent="0.2">
      <c r="R165" s="3">
        <v>38516</v>
      </c>
      <c r="S165">
        <v>1203.2</v>
      </c>
    </row>
    <row r="166" spans="18:19" x14ac:dyDescent="0.2">
      <c r="R166" s="3">
        <v>38517</v>
      </c>
      <c r="S166">
        <v>1193.8</v>
      </c>
    </row>
    <row r="167" spans="18:19" x14ac:dyDescent="0.2">
      <c r="R167" s="3">
        <v>38518</v>
      </c>
      <c r="S167">
        <v>1196.8</v>
      </c>
    </row>
    <row r="168" spans="18:19" x14ac:dyDescent="0.2">
      <c r="R168" s="3">
        <v>38519</v>
      </c>
      <c r="S168">
        <v>1225.5</v>
      </c>
    </row>
    <row r="169" spans="18:19" x14ac:dyDescent="0.2">
      <c r="R169" s="3">
        <v>38520</v>
      </c>
      <c r="S169">
        <v>1221.5</v>
      </c>
    </row>
    <row r="170" spans="18:19" x14ac:dyDescent="0.2">
      <c r="R170" s="3">
        <v>38521</v>
      </c>
      <c r="S170">
        <v>0</v>
      </c>
    </row>
    <row r="171" spans="18:19" x14ac:dyDescent="0.2">
      <c r="R171" s="3">
        <v>38522</v>
      </c>
      <c r="S171">
        <v>0</v>
      </c>
    </row>
    <row r="172" spans="18:19" x14ac:dyDescent="0.2">
      <c r="R172" s="3">
        <v>38523</v>
      </c>
      <c r="S172">
        <v>1228.5999999999999</v>
      </c>
    </row>
    <row r="173" spans="18:19" x14ac:dyDescent="0.2">
      <c r="R173" s="3">
        <v>38524</v>
      </c>
      <c r="S173">
        <v>1213</v>
      </c>
    </row>
    <row r="174" spans="18:19" x14ac:dyDescent="0.2">
      <c r="R174" s="3">
        <v>38525</v>
      </c>
      <c r="S174">
        <v>1220.7</v>
      </c>
    </row>
    <row r="175" spans="18:19" x14ac:dyDescent="0.2">
      <c r="R175" s="3">
        <v>38526</v>
      </c>
      <c r="S175">
        <v>1209.7</v>
      </c>
    </row>
    <row r="176" spans="18:19" x14ac:dyDescent="0.2">
      <c r="R176" s="3">
        <v>38527</v>
      </c>
      <c r="S176">
        <v>1201.8</v>
      </c>
    </row>
    <row r="177" spans="18:19" x14ac:dyDescent="0.2">
      <c r="R177" s="3">
        <v>38528</v>
      </c>
      <c r="S177">
        <v>0</v>
      </c>
    </row>
    <row r="178" spans="18:19" x14ac:dyDescent="0.2">
      <c r="R178" s="3">
        <v>38529</v>
      </c>
      <c r="S178">
        <v>0</v>
      </c>
    </row>
    <row r="179" spans="18:19" x14ac:dyDescent="0.2">
      <c r="R179" s="3">
        <v>38530</v>
      </c>
      <c r="S179">
        <v>1200.7</v>
      </c>
    </row>
    <row r="180" spans="18:19" x14ac:dyDescent="0.2">
      <c r="R180" s="3">
        <v>38531</v>
      </c>
      <c r="S180">
        <v>1204.2</v>
      </c>
    </row>
    <row r="181" spans="18:19" x14ac:dyDescent="0.2">
      <c r="R181" s="3">
        <v>38532</v>
      </c>
      <c r="S181">
        <v>1207.9000000000001</v>
      </c>
    </row>
    <row r="182" spans="18:19" x14ac:dyDescent="0.2">
      <c r="R182" s="3">
        <v>38533</v>
      </c>
      <c r="S182">
        <v>1210.0999999999999</v>
      </c>
    </row>
    <row r="183" spans="18:19" x14ac:dyDescent="0.2">
      <c r="R183" s="3">
        <v>38534</v>
      </c>
      <c r="S183">
        <v>1214.7</v>
      </c>
    </row>
    <row r="184" spans="18:19" x14ac:dyDescent="0.2">
      <c r="R184" s="3">
        <v>38535</v>
      </c>
      <c r="S184">
        <v>0</v>
      </c>
    </row>
    <row r="185" spans="18:19" x14ac:dyDescent="0.2">
      <c r="R185" s="3">
        <v>38536</v>
      </c>
      <c r="S185">
        <v>0</v>
      </c>
    </row>
    <row r="186" spans="18:19" x14ac:dyDescent="0.2">
      <c r="R186" s="3">
        <v>38537</v>
      </c>
      <c r="S186">
        <v>1220.8</v>
      </c>
    </row>
    <row r="187" spans="18:19" x14ac:dyDescent="0.2">
      <c r="R187" s="3">
        <v>38538</v>
      </c>
      <c r="S187">
        <v>0</v>
      </c>
    </row>
    <row r="188" spans="18:19" x14ac:dyDescent="0.2">
      <c r="R188" s="3">
        <v>38539</v>
      </c>
      <c r="S188">
        <v>0</v>
      </c>
    </row>
    <row r="189" spans="18:19" x14ac:dyDescent="0.2">
      <c r="R189" s="3">
        <v>38540</v>
      </c>
      <c r="S189">
        <v>1219.0999999999999</v>
      </c>
    </row>
    <row r="190" spans="18:19" x14ac:dyDescent="0.2">
      <c r="R190" s="3">
        <v>38541</v>
      </c>
      <c r="S190">
        <v>1224.7</v>
      </c>
    </row>
    <row r="191" spans="18:19" x14ac:dyDescent="0.2">
      <c r="R191" s="3">
        <v>38542</v>
      </c>
      <c r="S191">
        <v>0</v>
      </c>
    </row>
    <row r="192" spans="18:19" x14ac:dyDescent="0.2">
      <c r="R192" s="3">
        <v>38543</v>
      </c>
      <c r="S192">
        <v>0</v>
      </c>
    </row>
    <row r="193" spans="18:19" x14ac:dyDescent="0.2">
      <c r="R193" s="3">
        <v>38544</v>
      </c>
      <c r="S193">
        <v>1228.2</v>
      </c>
    </row>
    <row r="194" spans="18:19" x14ac:dyDescent="0.2">
      <c r="R194" s="3">
        <v>38545</v>
      </c>
      <c r="S194">
        <v>1238.5</v>
      </c>
    </row>
    <row r="195" spans="18:19" x14ac:dyDescent="0.2">
      <c r="R195" s="3">
        <v>38546</v>
      </c>
      <c r="S195">
        <v>1237.2</v>
      </c>
    </row>
    <row r="196" spans="18:19" x14ac:dyDescent="0.2">
      <c r="R196" s="3">
        <v>38547</v>
      </c>
      <c r="S196">
        <v>1240.5999999999999</v>
      </c>
    </row>
    <row r="197" spans="18:19" x14ac:dyDescent="0.2">
      <c r="R197" s="3">
        <v>38548</v>
      </c>
      <c r="S197">
        <v>1237.8</v>
      </c>
    </row>
    <row r="198" spans="18:19" x14ac:dyDescent="0.2">
      <c r="R198" s="3">
        <v>38549</v>
      </c>
      <c r="S198">
        <v>0</v>
      </c>
    </row>
    <row r="199" spans="18:19" x14ac:dyDescent="0.2">
      <c r="R199" s="3">
        <v>38550</v>
      </c>
      <c r="S199">
        <v>0</v>
      </c>
    </row>
    <row r="200" spans="18:19" x14ac:dyDescent="0.2">
      <c r="R200" s="3">
        <v>38551</v>
      </c>
      <c r="S200">
        <v>1233</v>
      </c>
    </row>
    <row r="201" spans="18:19" x14ac:dyDescent="0.2">
      <c r="R201" s="3">
        <v>38552</v>
      </c>
      <c r="S201">
        <v>1240.5</v>
      </c>
    </row>
    <row r="202" spans="18:19" x14ac:dyDescent="0.2">
      <c r="R202" s="3">
        <v>38553</v>
      </c>
      <c r="S202">
        <v>1241</v>
      </c>
    </row>
    <row r="203" spans="18:19" x14ac:dyDescent="0.2">
      <c r="R203" s="3">
        <v>38554</v>
      </c>
      <c r="S203">
        <v>1238.5999999999999</v>
      </c>
    </row>
    <row r="204" spans="18:19" x14ac:dyDescent="0.2">
      <c r="R204" s="3">
        <v>38555</v>
      </c>
      <c r="S204">
        <v>1247</v>
      </c>
    </row>
    <row r="205" spans="18:19" x14ac:dyDescent="0.2">
      <c r="R205" s="3">
        <v>38556</v>
      </c>
      <c r="S205">
        <v>0</v>
      </c>
    </row>
    <row r="206" spans="18:19" x14ac:dyDescent="0.2">
      <c r="R206" s="3">
        <v>38557</v>
      </c>
      <c r="S206">
        <v>0</v>
      </c>
    </row>
    <row r="207" spans="18:19" x14ac:dyDescent="0.2">
      <c r="R207" s="3">
        <v>38558</v>
      </c>
      <c r="S207">
        <v>1253.5</v>
      </c>
    </row>
    <row r="208" spans="18:19" x14ac:dyDescent="0.2">
      <c r="R208" s="3">
        <v>38559</v>
      </c>
      <c r="S208">
        <v>1249.5999999999999</v>
      </c>
    </row>
    <row r="209" spans="18:19" x14ac:dyDescent="0.2">
      <c r="R209" s="3">
        <v>38560</v>
      </c>
      <c r="S209">
        <v>1258.2</v>
      </c>
    </row>
    <row r="210" spans="18:19" x14ac:dyDescent="0.2">
      <c r="R210" s="3">
        <v>38561</v>
      </c>
      <c r="S210">
        <v>1252.8</v>
      </c>
    </row>
    <row r="211" spans="18:19" x14ac:dyDescent="0.2">
      <c r="R211" s="3">
        <v>38562</v>
      </c>
      <c r="S211">
        <v>1262.3</v>
      </c>
    </row>
    <row r="212" spans="18:19" x14ac:dyDescent="0.2">
      <c r="R212" s="3">
        <v>38563</v>
      </c>
      <c r="S212">
        <v>0</v>
      </c>
    </row>
    <row r="213" spans="18:19" x14ac:dyDescent="0.2">
      <c r="R213" s="3">
        <v>38564</v>
      </c>
      <c r="S213">
        <v>0</v>
      </c>
    </row>
    <row r="214" spans="18:19" x14ac:dyDescent="0.2">
      <c r="R214" s="3">
        <v>38565</v>
      </c>
      <c r="S214">
        <v>1263</v>
      </c>
    </row>
    <row r="215" spans="18:19" x14ac:dyDescent="0.2">
      <c r="R215" s="3">
        <v>38566</v>
      </c>
      <c r="S215">
        <v>1264.8</v>
      </c>
    </row>
    <row r="216" spans="18:19" x14ac:dyDescent="0.2">
      <c r="R216" s="3">
        <v>38567</v>
      </c>
      <c r="S216">
        <v>1262.2</v>
      </c>
    </row>
    <row r="217" spans="18:19" x14ac:dyDescent="0.2">
      <c r="R217" s="3">
        <v>38568</v>
      </c>
      <c r="S217">
        <v>1274.5</v>
      </c>
    </row>
    <row r="218" spans="18:19" x14ac:dyDescent="0.2">
      <c r="R218" s="3">
        <v>38569</v>
      </c>
      <c r="S218">
        <v>1270.9000000000001</v>
      </c>
    </row>
    <row r="219" spans="18:19" x14ac:dyDescent="0.2">
      <c r="R219" s="3">
        <v>38570</v>
      </c>
      <c r="S219">
        <v>0</v>
      </c>
    </row>
    <row r="220" spans="18:19" x14ac:dyDescent="0.2">
      <c r="R220" s="3">
        <v>38571</v>
      </c>
      <c r="S220">
        <v>0</v>
      </c>
    </row>
    <row r="221" spans="18:19" x14ac:dyDescent="0.2">
      <c r="R221" s="3">
        <v>38572</v>
      </c>
      <c r="S221">
        <v>1274</v>
      </c>
    </row>
    <row r="222" spans="18:19" x14ac:dyDescent="0.2">
      <c r="R222" s="3">
        <v>38573</v>
      </c>
      <c r="S222">
        <v>1279.3</v>
      </c>
    </row>
    <row r="223" spans="18:19" x14ac:dyDescent="0.2">
      <c r="R223" s="3">
        <v>38574</v>
      </c>
      <c r="S223">
        <v>1285</v>
      </c>
    </row>
    <row r="224" spans="18:19" x14ac:dyDescent="0.2">
      <c r="R224" s="3">
        <v>38575</v>
      </c>
      <c r="S224">
        <v>1288.5999999999999</v>
      </c>
    </row>
    <row r="225" spans="18:19" x14ac:dyDescent="0.2">
      <c r="R225" s="3">
        <v>38576</v>
      </c>
      <c r="S225">
        <v>1285.0999999999999</v>
      </c>
    </row>
    <row r="226" spans="18:19" x14ac:dyDescent="0.2">
      <c r="R226" s="3">
        <v>38577</v>
      </c>
      <c r="S226">
        <v>0</v>
      </c>
    </row>
    <row r="227" spans="18:19" x14ac:dyDescent="0.2">
      <c r="R227" s="3">
        <v>38578</v>
      </c>
      <c r="S227">
        <v>0</v>
      </c>
    </row>
    <row r="228" spans="18:19" x14ac:dyDescent="0.2">
      <c r="R228" s="3">
        <v>38579</v>
      </c>
      <c r="S228">
        <v>1288.5</v>
      </c>
    </row>
    <row r="229" spans="18:19" x14ac:dyDescent="0.2">
      <c r="R229" s="3">
        <v>38580</v>
      </c>
      <c r="S229">
        <v>1296.3</v>
      </c>
    </row>
    <row r="230" spans="18:19" x14ac:dyDescent="0.2">
      <c r="R230" s="3">
        <v>38581</v>
      </c>
      <c r="S230">
        <v>1292</v>
      </c>
    </row>
    <row r="231" spans="18:19" x14ac:dyDescent="0.2">
      <c r="R231" s="3">
        <v>38582</v>
      </c>
      <c r="S231">
        <v>1291.5999999999999</v>
      </c>
    </row>
    <row r="232" spans="18:19" x14ac:dyDescent="0.2">
      <c r="R232" s="3">
        <v>38583</v>
      </c>
      <c r="S232">
        <v>1290.0999999999999</v>
      </c>
    </row>
    <row r="233" spans="18:19" x14ac:dyDescent="0.2">
      <c r="R233" s="3">
        <v>38584</v>
      </c>
      <c r="S233">
        <v>0</v>
      </c>
    </row>
    <row r="234" spans="18:19" x14ac:dyDescent="0.2">
      <c r="R234" s="3">
        <v>38585</v>
      </c>
      <c r="S234">
        <v>0</v>
      </c>
    </row>
    <row r="235" spans="18:19" x14ac:dyDescent="0.2">
      <c r="R235" s="3">
        <v>38586</v>
      </c>
      <c r="S235">
        <v>1298.5</v>
      </c>
    </row>
    <row r="236" spans="18:19" x14ac:dyDescent="0.2">
      <c r="R236" s="3">
        <v>38587</v>
      </c>
      <c r="S236">
        <v>1305.5</v>
      </c>
    </row>
    <row r="237" spans="18:19" x14ac:dyDescent="0.2">
      <c r="R237" s="3">
        <v>38588</v>
      </c>
      <c r="S237">
        <v>1310.2</v>
      </c>
    </row>
    <row r="238" spans="18:19" x14ac:dyDescent="0.2">
      <c r="R238" s="3">
        <v>38589</v>
      </c>
      <c r="S238">
        <v>1314</v>
      </c>
    </row>
    <row r="239" spans="18:19" x14ac:dyDescent="0.2">
      <c r="R239" s="3">
        <v>38590</v>
      </c>
      <c r="S239">
        <v>1315.2</v>
      </c>
    </row>
    <row r="240" spans="18:19" x14ac:dyDescent="0.2">
      <c r="R240" s="3">
        <v>38591</v>
      </c>
      <c r="S240">
        <v>0</v>
      </c>
    </row>
    <row r="241" spans="18:19" x14ac:dyDescent="0.2">
      <c r="R241" s="3">
        <v>38592</v>
      </c>
      <c r="S241">
        <v>0</v>
      </c>
    </row>
    <row r="242" spans="18:19" x14ac:dyDescent="0.2">
      <c r="R242" s="3">
        <v>38593</v>
      </c>
      <c r="S242">
        <v>1307.8</v>
      </c>
    </row>
    <row r="243" spans="18:19" x14ac:dyDescent="0.2">
      <c r="R243" s="3">
        <v>38594</v>
      </c>
      <c r="S243">
        <v>1328.1</v>
      </c>
    </row>
    <row r="244" spans="18:19" x14ac:dyDescent="0.2">
      <c r="R244" s="3">
        <v>38595</v>
      </c>
      <c r="S244">
        <v>1350.9</v>
      </c>
    </row>
    <row r="245" spans="18:19" x14ac:dyDescent="0.2">
      <c r="R245" s="3">
        <v>38596</v>
      </c>
      <c r="S245">
        <v>1367.6</v>
      </c>
    </row>
    <row r="246" spans="18:19" x14ac:dyDescent="0.2">
      <c r="R246" s="3">
        <v>38597</v>
      </c>
      <c r="S246">
        <v>1384.6</v>
      </c>
    </row>
    <row r="247" spans="18:19" x14ac:dyDescent="0.2">
      <c r="R247" s="3">
        <v>38598</v>
      </c>
      <c r="S247">
        <v>0</v>
      </c>
    </row>
    <row r="248" spans="18:19" x14ac:dyDescent="0.2">
      <c r="R248" s="3">
        <v>38599</v>
      </c>
      <c r="S248">
        <v>0</v>
      </c>
    </row>
    <row r="249" spans="18:19" x14ac:dyDescent="0.2">
      <c r="R249" s="3">
        <v>38600</v>
      </c>
      <c r="S249">
        <v>1370.1</v>
      </c>
    </row>
    <row r="250" spans="18:19" x14ac:dyDescent="0.2">
      <c r="R250" s="3">
        <v>38601</v>
      </c>
      <c r="S250">
        <v>1359.2</v>
      </c>
    </row>
    <row r="251" spans="18:19" x14ac:dyDescent="0.2">
      <c r="R251" s="3">
        <v>38602</v>
      </c>
      <c r="S251">
        <v>1353.9</v>
      </c>
    </row>
    <row r="252" spans="18:19" x14ac:dyDescent="0.2">
      <c r="R252" s="3">
        <v>38603</v>
      </c>
      <c r="S252">
        <v>1367.7</v>
      </c>
    </row>
    <row r="253" spans="18:19" x14ac:dyDescent="0.2">
      <c r="R253" s="3">
        <v>38604</v>
      </c>
      <c r="S253">
        <v>1381.4</v>
      </c>
    </row>
    <row r="254" spans="18:19" x14ac:dyDescent="0.2">
      <c r="R254" s="3">
        <v>38605</v>
      </c>
      <c r="S254">
        <v>0</v>
      </c>
    </row>
    <row r="255" spans="18:19" x14ac:dyDescent="0.2">
      <c r="R255" s="3">
        <v>38606</v>
      </c>
      <c r="S255">
        <v>0</v>
      </c>
    </row>
    <row r="256" spans="18:19" x14ac:dyDescent="0.2">
      <c r="R256" s="3">
        <v>38607</v>
      </c>
      <c r="S256">
        <v>1379.7</v>
      </c>
    </row>
    <row r="257" spans="18:19" x14ac:dyDescent="0.2">
      <c r="R257" s="3">
        <v>38608</v>
      </c>
      <c r="S257">
        <v>1386.5</v>
      </c>
    </row>
    <row r="258" spans="18:19" x14ac:dyDescent="0.2">
      <c r="R258" s="3">
        <v>38609</v>
      </c>
      <c r="S258">
        <v>1390.3</v>
      </c>
    </row>
    <row r="259" spans="18:19" x14ac:dyDescent="0.2">
      <c r="R259" s="3">
        <v>38610</v>
      </c>
      <c r="S259">
        <v>1414.7</v>
      </c>
    </row>
    <row r="260" spans="18:19" x14ac:dyDescent="0.2">
      <c r="R260" s="3">
        <v>38611</v>
      </c>
      <c r="S260">
        <v>1432.3</v>
      </c>
    </row>
    <row r="261" spans="18:19" x14ac:dyDescent="0.2">
      <c r="R261" s="3">
        <v>38612</v>
      </c>
      <c r="S261">
        <v>0</v>
      </c>
    </row>
    <row r="262" spans="18:19" x14ac:dyDescent="0.2">
      <c r="R262" s="3">
        <v>38613</v>
      </c>
      <c r="S262">
        <v>0</v>
      </c>
    </row>
    <row r="263" spans="18:19" x14ac:dyDescent="0.2">
      <c r="R263" s="3">
        <v>38614</v>
      </c>
      <c r="S263">
        <v>1443.9</v>
      </c>
    </row>
    <row r="264" spans="18:19" x14ac:dyDescent="0.2">
      <c r="R264" s="3">
        <v>38615</v>
      </c>
      <c r="S264">
        <v>1435.6</v>
      </c>
    </row>
    <row r="265" spans="18:19" x14ac:dyDescent="0.2">
      <c r="R265" s="3">
        <v>38616</v>
      </c>
      <c r="S265">
        <v>1432.5</v>
      </c>
    </row>
    <row r="266" spans="18:19" x14ac:dyDescent="0.2">
      <c r="R266" s="3">
        <v>38617</v>
      </c>
      <c r="S266">
        <v>1441.8</v>
      </c>
    </row>
    <row r="267" spans="18:19" x14ac:dyDescent="0.2">
      <c r="R267" s="3">
        <v>38618</v>
      </c>
      <c r="S267">
        <v>1421.4</v>
      </c>
    </row>
    <row r="268" spans="18:19" x14ac:dyDescent="0.2">
      <c r="R268" s="3">
        <v>38619</v>
      </c>
      <c r="S268">
        <v>0</v>
      </c>
    </row>
    <row r="269" spans="18:19" x14ac:dyDescent="0.2">
      <c r="R269" s="3">
        <v>38620</v>
      </c>
      <c r="S269">
        <v>0</v>
      </c>
    </row>
    <row r="270" spans="18:19" x14ac:dyDescent="0.2">
      <c r="R270" s="3">
        <v>38621</v>
      </c>
      <c r="S270">
        <v>1437.1</v>
      </c>
    </row>
    <row r="271" spans="18:19" x14ac:dyDescent="0.2">
      <c r="R271" s="3">
        <v>38622</v>
      </c>
      <c r="S271">
        <v>1451.6</v>
      </c>
    </row>
    <row r="272" spans="18:19" x14ac:dyDescent="0.2">
      <c r="R272" s="3">
        <v>38623</v>
      </c>
      <c r="S272">
        <v>0</v>
      </c>
    </row>
    <row r="273" spans="18:19" x14ac:dyDescent="0.2">
      <c r="R273" s="3">
        <v>38624</v>
      </c>
      <c r="S273">
        <v>1450.5</v>
      </c>
    </row>
    <row r="274" spans="18:19" x14ac:dyDescent="0.2">
      <c r="R274" s="3">
        <v>38625</v>
      </c>
      <c r="S274">
        <v>1453.7</v>
      </c>
    </row>
    <row r="275" spans="18:19" x14ac:dyDescent="0.2">
      <c r="R275" s="3">
        <v>38626</v>
      </c>
      <c r="S275">
        <v>0</v>
      </c>
    </row>
    <row r="276" spans="18:19" x14ac:dyDescent="0.2">
      <c r="R276" s="3">
        <v>38627</v>
      </c>
      <c r="S276">
        <v>0</v>
      </c>
    </row>
    <row r="277" spans="18:19" x14ac:dyDescent="0.2">
      <c r="R277" s="3">
        <v>38628</v>
      </c>
      <c r="S277">
        <v>1468.2</v>
      </c>
    </row>
    <row r="278" spans="18:19" x14ac:dyDescent="0.2">
      <c r="R278" s="3">
        <v>38629</v>
      </c>
      <c r="S278">
        <v>1478.3</v>
      </c>
    </row>
    <row r="279" spans="18:19" x14ac:dyDescent="0.2">
      <c r="R279" s="3">
        <v>38630</v>
      </c>
      <c r="S279">
        <v>1471.3</v>
      </c>
    </row>
    <row r="280" spans="18:19" x14ac:dyDescent="0.2">
      <c r="R280" s="3">
        <v>38631</v>
      </c>
      <c r="S280">
        <v>1406.6</v>
      </c>
    </row>
    <row r="281" spans="18:19" x14ac:dyDescent="0.2">
      <c r="R281" s="3">
        <v>38632</v>
      </c>
      <c r="S281">
        <v>1397.5</v>
      </c>
    </row>
    <row r="282" spans="18:19" x14ac:dyDescent="0.2">
      <c r="R282" s="3">
        <v>38633</v>
      </c>
      <c r="S282">
        <v>0</v>
      </c>
    </row>
    <row r="283" spans="18:19" x14ac:dyDescent="0.2">
      <c r="R283" s="3">
        <v>38634</v>
      </c>
      <c r="S283">
        <v>0</v>
      </c>
    </row>
    <row r="284" spans="18:19" x14ac:dyDescent="0.2">
      <c r="R284" s="3">
        <v>38635</v>
      </c>
      <c r="S284">
        <v>1421.1</v>
      </c>
    </row>
    <row r="285" spans="18:19" x14ac:dyDescent="0.2">
      <c r="R285" s="3">
        <v>38636</v>
      </c>
      <c r="S285">
        <v>1419.4</v>
      </c>
    </row>
    <row r="286" spans="18:19" x14ac:dyDescent="0.2">
      <c r="R286" s="3">
        <v>38637</v>
      </c>
      <c r="S286">
        <v>1411.3</v>
      </c>
    </row>
    <row r="287" spans="18:19" x14ac:dyDescent="0.2">
      <c r="R287" s="3">
        <v>38638</v>
      </c>
      <c r="S287">
        <v>1360.4</v>
      </c>
    </row>
    <row r="288" spans="18:19" x14ac:dyDescent="0.2">
      <c r="R288" s="3">
        <v>38639</v>
      </c>
      <c r="S288">
        <v>1327.3</v>
      </c>
    </row>
    <row r="289" spans="18:19" x14ac:dyDescent="0.2">
      <c r="R289" s="3">
        <v>38640</v>
      </c>
      <c r="S289">
        <v>0</v>
      </c>
    </row>
    <row r="290" spans="18:19" x14ac:dyDescent="0.2">
      <c r="R290" s="3">
        <v>38641</v>
      </c>
      <c r="S290">
        <v>0</v>
      </c>
    </row>
    <row r="291" spans="18:19" x14ac:dyDescent="0.2">
      <c r="R291" s="3">
        <v>38642</v>
      </c>
      <c r="S291">
        <v>1353</v>
      </c>
    </row>
    <row r="292" spans="18:19" x14ac:dyDescent="0.2">
      <c r="R292" s="3">
        <v>38643</v>
      </c>
      <c r="S292">
        <v>1356.9</v>
      </c>
    </row>
    <row r="293" spans="18:19" x14ac:dyDescent="0.2">
      <c r="R293" s="3">
        <v>38644</v>
      </c>
      <c r="S293">
        <v>1308.8</v>
      </c>
    </row>
    <row r="294" spans="18:19" x14ac:dyDescent="0.2">
      <c r="R294" s="3">
        <v>38645</v>
      </c>
      <c r="S294">
        <v>1310</v>
      </c>
    </row>
    <row r="295" spans="18:19" x14ac:dyDescent="0.2">
      <c r="R295" s="3">
        <v>38646</v>
      </c>
      <c r="S295">
        <v>1311.8</v>
      </c>
    </row>
    <row r="296" spans="18:19" x14ac:dyDescent="0.2">
      <c r="R296" s="3">
        <v>38647</v>
      </c>
      <c r="S296">
        <v>0</v>
      </c>
    </row>
    <row r="297" spans="18:19" x14ac:dyDescent="0.2">
      <c r="R297" s="3">
        <v>38648</v>
      </c>
      <c r="S297">
        <v>0</v>
      </c>
    </row>
    <row r="298" spans="18:19" x14ac:dyDescent="0.2">
      <c r="R298" s="3">
        <v>38649</v>
      </c>
      <c r="S298">
        <v>1331.5</v>
      </c>
    </row>
    <row r="299" spans="18:19" x14ac:dyDescent="0.2">
      <c r="R299" s="3">
        <v>38650</v>
      </c>
      <c r="S299">
        <v>1349.9</v>
      </c>
    </row>
    <row r="300" spans="18:19" x14ac:dyDescent="0.2">
      <c r="R300" s="3">
        <v>38651</v>
      </c>
      <c r="S300">
        <v>1348.2</v>
      </c>
    </row>
    <row r="301" spans="18:19" x14ac:dyDescent="0.2">
      <c r="R301" s="3">
        <v>38652</v>
      </c>
      <c r="S301">
        <v>1355.6</v>
      </c>
    </row>
    <row r="302" spans="18:19" x14ac:dyDescent="0.2">
      <c r="R302" s="3">
        <v>38653</v>
      </c>
      <c r="S302">
        <v>0</v>
      </c>
    </row>
    <row r="303" spans="18:19" x14ac:dyDescent="0.2">
      <c r="R303" s="3">
        <v>38654</v>
      </c>
      <c r="S303">
        <v>0</v>
      </c>
    </row>
    <row r="304" spans="18:19" x14ac:dyDescent="0.2">
      <c r="R304" s="3">
        <v>38655</v>
      </c>
      <c r="S304">
        <v>0</v>
      </c>
    </row>
    <row r="305" spans="18:19" x14ac:dyDescent="0.2">
      <c r="R305" s="3">
        <v>38656</v>
      </c>
      <c r="S305">
        <v>1381.3</v>
      </c>
    </row>
    <row r="306" spans="18:19" x14ac:dyDescent="0.2">
      <c r="R306" s="3">
        <v>38657</v>
      </c>
      <c r="S306">
        <v>1392.7</v>
      </c>
    </row>
    <row r="307" spans="18:19" x14ac:dyDescent="0.2">
      <c r="R307" s="3">
        <v>38658</v>
      </c>
      <c r="S307">
        <v>1393.5</v>
      </c>
    </row>
    <row r="308" spans="18:19" x14ac:dyDescent="0.2">
      <c r="R308" s="3">
        <v>38659</v>
      </c>
      <c r="S308">
        <v>1403.6</v>
      </c>
    </row>
    <row r="309" spans="18:19" x14ac:dyDescent="0.2">
      <c r="R309" s="3">
        <v>38660</v>
      </c>
      <c r="S309">
        <v>1411.4</v>
      </c>
    </row>
    <row r="310" spans="18:19" x14ac:dyDescent="0.2">
      <c r="R310" s="3">
        <v>38661</v>
      </c>
      <c r="S310">
        <v>0</v>
      </c>
    </row>
    <row r="311" spans="18:19" x14ac:dyDescent="0.2">
      <c r="R311" s="3">
        <v>38662</v>
      </c>
      <c r="S311">
        <v>0</v>
      </c>
    </row>
    <row r="312" spans="18:19" x14ac:dyDescent="0.2">
      <c r="R312" s="3">
        <v>38663</v>
      </c>
      <c r="S312">
        <v>1431.9</v>
      </c>
    </row>
    <row r="313" spans="18:19" x14ac:dyDescent="0.2">
      <c r="R313" s="3">
        <v>38664</v>
      </c>
      <c r="S313">
        <v>1421.6</v>
      </c>
    </row>
    <row r="314" spans="18:19" x14ac:dyDescent="0.2">
      <c r="R314" s="3">
        <v>38665</v>
      </c>
      <c r="S314">
        <v>1416.1</v>
      </c>
    </row>
    <row r="315" spans="18:19" x14ac:dyDescent="0.2">
      <c r="R315" s="3">
        <v>38666</v>
      </c>
      <c r="S315">
        <v>1410.5</v>
      </c>
    </row>
    <row r="316" spans="18:19" x14ac:dyDescent="0.2">
      <c r="R316" s="3">
        <v>38667</v>
      </c>
      <c r="S316">
        <v>1397</v>
      </c>
    </row>
    <row r="317" spans="18:19" x14ac:dyDescent="0.2">
      <c r="R317" s="3">
        <v>38668</v>
      </c>
      <c r="S317">
        <v>0</v>
      </c>
    </row>
    <row r="318" spans="18:19" x14ac:dyDescent="0.2">
      <c r="R318" s="3">
        <v>38669</v>
      </c>
      <c r="S318">
        <v>0</v>
      </c>
    </row>
    <row r="319" spans="18:19" x14ac:dyDescent="0.2">
      <c r="R319" s="3">
        <v>38670</v>
      </c>
      <c r="S319">
        <v>1378.7</v>
      </c>
    </row>
    <row r="320" spans="18:19" x14ac:dyDescent="0.2">
      <c r="R320" s="3">
        <v>38671</v>
      </c>
      <c r="S320">
        <v>1364</v>
      </c>
    </row>
    <row r="321" spans="18:19" x14ac:dyDescent="0.2">
      <c r="R321" s="3">
        <v>38672</v>
      </c>
      <c r="S321">
        <v>1379.7</v>
      </c>
    </row>
    <row r="322" spans="18:19" x14ac:dyDescent="0.2">
      <c r="R322" s="3">
        <v>38673</v>
      </c>
      <c r="S322">
        <v>0</v>
      </c>
    </row>
    <row r="323" spans="18:19" x14ac:dyDescent="0.2">
      <c r="R323" s="3">
        <v>38674</v>
      </c>
      <c r="S323">
        <v>1392.5</v>
      </c>
    </row>
    <row r="324" spans="18:19" x14ac:dyDescent="0.2">
      <c r="R324" s="3">
        <v>38675</v>
      </c>
      <c r="S324">
        <v>0</v>
      </c>
    </row>
    <row r="325" spans="18:19" x14ac:dyDescent="0.2">
      <c r="R325" s="3">
        <v>38676</v>
      </c>
      <c r="S325">
        <v>0</v>
      </c>
    </row>
    <row r="326" spans="18:19" x14ac:dyDescent="0.2">
      <c r="R326" s="3">
        <v>38677</v>
      </c>
      <c r="S326">
        <v>1395.2</v>
      </c>
    </row>
    <row r="327" spans="18:19" x14ac:dyDescent="0.2">
      <c r="R327" s="3">
        <v>38678</v>
      </c>
      <c r="S327">
        <v>1378.5</v>
      </c>
    </row>
    <row r="328" spans="18:19" x14ac:dyDescent="0.2">
      <c r="R328" s="3">
        <v>38679</v>
      </c>
      <c r="S328">
        <v>1396</v>
      </c>
    </row>
    <row r="329" spans="18:19" x14ac:dyDescent="0.2">
      <c r="R329" s="3">
        <v>38680</v>
      </c>
      <c r="S329">
        <v>1393.9</v>
      </c>
    </row>
    <row r="330" spans="18:19" x14ac:dyDescent="0.2">
      <c r="R330" s="3">
        <v>38681</v>
      </c>
      <c r="S330">
        <v>1402.7</v>
      </c>
    </row>
    <row r="331" spans="18:19" x14ac:dyDescent="0.2">
      <c r="R331" s="3">
        <v>38682</v>
      </c>
      <c r="S331">
        <v>0</v>
      </c>
    </row>
    <row r="332" spans="18:19" x14ac:dyDescent="0.2">
      <c r="R332" s="3">
        <v>38683</v>
      </c>
      <c r="S332">
        <v>0</v>
      </c>
    </row>
    <row r="333" spans="18:19" x14ac:dyDescent="0.2">
      <c r="R333" s="3">
        <v>38684</v>
      </c>
      <c r="S333">
        <v>1407.2</v>
      </c>
    </row>
    <row r="334" spans="18:19" x14ac:dyDescent="0.2">
      <c r="R334" s="3">
        <v>38685</v>
      </c>
      <c r="S334">
        <v>1403.2</v>
      </c>
    </row>
    <row r="335" spans="18:19" x14ac:dyDescent="0.2">
      <c r="R335" s="3">
        <v>38686</v>
      </c>
      <c r="S335">
        <v>1403.1</v>
      </c>
    </row>
    <row r="336" spans="18:19" x14ac:dyDescent="0.2">
      <c r="R336" s="3">
        <v>38687</v>
      </c>
      <c r="S336">
        <v>1409.4</v>
      </c>
    </row>
    <row r="337" spans="18:19" x14ac:dyDescent="0.2">
      <c r="R337" s="3">
        <v>38688</v>
      </c>
      <c r="S337">
        <v>1422.1</v>
      </c>
    </row>
    <row r="338" spans="18:19" x14ac:dyDescent="0.2">
      <c r="R338" s="3">
        <v>38689</v>
      </c>
      <c r="S338">
        <v>0</v>
      </c>
    </row>
    <row r="339" spans="18:19" x14ac:dyDescent="0.2">
      <c r="R339" s="3">
        <v>38690</v>
      </c>
      <c r="S339">
        <v>0</v>
      </c>
    </row>
    <row r="340" spans="18:19" x14ac:dyDescent="0.2">
      <c r="R340" s="3">
        <v>38691</v>
      </c>
      <c r="S340">
        <v>1423.1</v>
      </c>
    </row>
    <row r="341" spans="18:19" x14ac:dyDescent="0.2">
      <c r="R341" s="3">
        <v>38692</v>
      </c>
      <c r="S341">
        <v>1417.3</v>
      </c>
    </row>
    <row r="342" spans="18:19" x14ac:dyDescent="0.2">
      <c r="R342" s="3">
        <v>38693</v>
      </c>
      <c r="S342">
        <v>1436.4</v>
      </c>
    </row>
    <row r="343" spans="18:19" x14ac:dyDescent="0.2">
      <c r="R343" s="3">
        <v>38694</v>
      </c>
      <c r="S343">
        <v>1437.2</v>
      </c>
    </row>
    <row r="344" spans="18:19" x14ac:dyDescent="0.2">
      <c r="R344" s="3">
        <v>38695</v>
      </c>
      <c r="S344">
        <v>1425.1</v>
      </c>
    </row>
    <row r="345" spans="18:19" x14ac:dyDescent="0.2">
      <c r="R345" s="3">
        <v>38696</v>
      </c>
      <c r="S345">
        <v>0</v>
      </c>
    </row>
    <row r="346" spans="18:19" x14ac:dyDescent="0.2">
      <c r="R346" s="3">
        <v>38697</v>
      </c>
      <c r="S346">
        <v>0</v>
      </c>
    </row>
    <row r="347" spans="18:19" x14ac:dyDescent="0.2">
      <c r="R347" s="3">
        <v>38698</v>
      </c>
      <c r="S347">
        <v>1432.6</v>
      </c>
    </row>
    <row r="348" spans="18:19" x14ac:dyDescent="0.2">
      <c r="R348" s="3">
        <v>38699</v>
      </c>
      <c r="S348">
        <v>1440</v>
      </c>
    </row>
    <row r="349" spans="18:19" x14ac:dyDescent="0.2">
      <c r="R349" s="3">
        <v>38700</v>
      </c>
      <c r="S349">
        <v>1444.6</v>
      </c>
    </row>
    <row r="350" spans="18:19" x14ac:dyDescent="0.2">
      <c r="R350" s="3">
        <v>38701</v>
      </c>
      <c r="S350">
        <v>1443.3</v>
      </c>
    </row>
    <row r="351" spans="18:19" x14ac:dyDescent="0.2">
      <c r="R351" s="3">
        <v>38702</v>
      </c>
      <c r="S351">
        <v>1441.2</v>
      </c>
    </row>
    <row r="352" spans="18:19" x14ac:dyDescent="0.2">
      <c r="R352" s="3">
        <v>38703</v>
      </c>
      <c r="S352">
        <v>0</v>
      </c>
    </row>
    <row r="353" spans="18:19" x14ac:dyDescent="0.2">
      <c r="R353" s="3">
        <v>38704</v>
      </c>
      <c r="S353">
        <v>0</v>
      </c>
    </row>
    <row r="354" spans="18:19" x14ac:dyDescent="0.2">
      <c r="R354" s="3">
        <v>38705</v>
      </c>
      <c r="S354">
        <v>1448.5</v>
      </c>
    </row>
    <row r="355" spans="18:19" x14ac:dyDescent="0.2">
      <c r="R355" s="3">
        <v>38706</v>
      </c>
      <c r="S355">
        <v>1453.8</v>
      </c>
    </row>
    <row r="356" spans="18:19" x14ac:dyDescent="0.2">
      <c r="R356" s="3">
        <v>38707</v>
      </c>
      <c r="S356">
        <v>1454.5</v>
      </c>
    </row>
    <row r="357" spans="18:19" x14ac:dyDescent="0.2">
      <c r="R357" s="3">
        <v>38708</v>
      </c>
      <c r="S357">
        <v>1457</v>
      </c>
    </row>
    <row r="358" spans="18:19" x14ac:dyDescent="0.2">
      <c r="R358" s="3">
        <v>38709</v>
      </c>
      <c r="S358">
        <v>1458.7</v>
      </c>
    </row>
    <row r="359" spans="18:19" x14ac:dyDescent="0.2">
      <c r="R359" s="3">
        <v>38710</v>
      </c>
      <c r="S359">
        <v>0</v>
      </c>
    </row>
    <row r="360" spans="18:19" x14ac:dyDescent="0.2">
      <c r="R360" s="3">
        <v>38711</v>
      </c>
      <c r="S360">
        <v>0</v>
      </c>
    </row>
    <row r="361" spans="18:19" x14ac:dyDescent="0.2">
      <c r="R361" s="3">
        <v>38712</v>
      </c>
      <c r="S361">
        <v>0</v>
      </c>
    </row>
    <row r="362" spans="18:19" x14ac:dyDescent="0.2">
      <c r="R362" s="3">
        <v>38713</v>
      </c>
      <c r="S362">
        <v>1468.1</v>
      </c>
    </row>
    <row r="363" spans="18:19" x14ac:dyDescent="0.2">
      <c r="R363" s="3">
        <v>38714</v>
      </c>
      <c r="S363">
        <v>1463.1</v>
      </c>
    </row>
    <row r="364" spans="18:19" x14ac:dyDescent="0.2">
      <c r="R364" s="3">
        <v>38715</v>
      </c>
      <c r="S364">
        <v>1475.7</v>
      </c>
    </row>
    <row r="365" spans="18:19" x14ac:dyDescent="0.2">
      <c r="R365" s="3">
        <v>38716</v>
      </c>
      <c r="S365">
        <v>1473</v>
      </c>
    </row>
    <row r="366" spans="18:19" x14ac:dyDescent="0.2">
      <c r="R366" s="3">
        <v>38717</v>
      </c>
      <c r="S366">
        <v>0</v>
      </c>
    </row>
  </sheetData>
  <phoneticPr fontId="6" type="noConversion"/>
  <hyperlinks>
    <hyperlink ref="E10" r:id="rId1"/>
    <hyperlink ref="E11" r:id="rId2"/>
  </hyperlinks>
  <pageMargins left="0.78740157499999996" right="0.78740157499999996" top="0.984251969" bottom="0.984251969" header="0.4921259845" footer="0.4921259845"/>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8198" r:id="rId6" name="Scroll Bar 6">
              <controlPr defaultSize="0" autoPict="0">
                <anchor moveWithCells="1">
                  <from>
                    <xdr:col>14</xdr:col>
                    <xdr:colOff>76200</xdr:colOff>
                    <xdr:row>2</xdr:row>
                    <xdr:rowOff>114300</xdr:rowOff>
                  </from>
                  <to>
                    <xdr:col>14</xdr:col>
                    <xdr:colOff>238125</xdr:colOff>
                    <xdr:row>23</xdr:row>
                    <xdr:rowOff>57150</xdr:rowOff>
                  </to>
                </anchor>
              </controlPr>
            </control>
          </mc:Choice>
        </mc:AlternateContent>
        <mc:AlternateContent xmlns:mc="http://schemas.openxmlformats.org/markup-compatibility/2006">
          <mc:Choice Requires="x14">
            <control shapeId="8200" r:id="rId7" name="Scroll Bar 8">
              <controlPr defaultSize="0" autoPict="0">
                <anchor moveWithCells="1">
                  <from>
                    <xdr:col>20</xdr:col>
                    <xdr:colOff>95250</xdr:colOff>
                    <xdr:row>2</xdr:row>
                    <xdr:rowOff>104775</xdr:rowOff>
                  </from>
                  <to>
                    <xdr:col>20</xdr:col>
                    <xdr:colOff>257175</xdr:colOff>
                    <xdr:row>23</xdr:row>
                    <xdr:rowOff>47625</xdr:rowOff>
                  </to>
                </anchor>
              </controlPr>
            </control>
          </mc:Choice>
        </mc:AlternateContent>
        <mc:AlternateContent xmlns:mc="http://schemas.openxmlformats.org/markup-compatibility/2006">
          <mc:Choice Requires="x14">
            <control shapeId="8201" r:id="rId8" name="Scroll Bar 9">
              <controlPr defaultSize="0" autoPict="0">
                <anchor moveWithCells="1">
                  <from>
                    <xdr:col>22</xdr:col>
                    <xdr:colOff>66675</xdr:colOff>
                    <xdr:row>2</xdr:row>
                    <xdr:rowOff>95250</xdr:rowOff>
                  </from>
                  <to>
                    <xdr:col>22</xdr:col>
                    <xdr:colOff>228600</xdr:colOff>
                    <xdr:row>23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workbookViewId="0"/>
  </sheetViews>
  <sheetFormatPr defaultRowHeight="12.75" x14ac:dyDescent="0.2"/>
  <sheetData>
    <row r="1" spans="1:7" x14ac:dyDescent="0.2">
      <c r="B1" t="s">
        <v>153</v>
      </c>
      <c r="E1" t="s">
        <v>11</v>
      </c>
    </row>
    <row r="2" spans="1:7" x14ac:dyDescent="0.2">
      <c r="A2" s="35" t="s">
        <v>171</v>
      </c>
      <c r="B2" s="35" t="s">
        <v>172</v>
      </c>
      <c r="C2" s="35" t="s">
        <v>173</v>
      </c>
      <c r="D2" s="35" t="s">
        <v>174</v>
      </c>
      <c r="E2" s="35" t="s">
        <v>175</v>
      </c>
      <c r="F2" s="35" t="s">
        <v>176</v>
      </c>
      <c r="G2" s="35" t="s">
        <v>177</v>
      </c>
    </row>
    <row r="3" spans="1:7" x14ac:dyDescent="0.2">
      <c r="A3">
        <v>1970</v>
      </c>
      <c r="B3">
        <f t="array" ref="B3:B43">2+2*SIN((A3:A43-1000)/10)</f>
        <v>2.7592154780550433</v>
      </c>
      <c r="C3">
        <f t="array" ref="C3:C43">SIN((A3:A43-2000)/15)</f>
        <v>-0.90929742682568171</v>
      </c>
      <c r="D3">
        <f t="array" ref="D3:D43">SIN((A3:A43-3000)/20)</f>
        <v>-0.94398911272511932</v>
      </c>
      <c r="E3">
        <f t="array" ref="E3:E43">3+3*SIN((A3:A43-4000)/5)</f>
        <v>5.0107546418916549</v>
      </c>
      <c r="F3">
        <f t="array" ref="F3:F43">SIN((A3:A43-5000)/6)</f>
        <v>-0.71485535084096952</v>
      </c>
      <c r="G3">
        <f t="array" ref="G3:G43">SIN((A3:A43-6000)/7)</f>
        <v>0.71932497021612618</v>
      </c>
    </row>
    <row r="4" spans="1:7" x14ac:dyDescent="0.2">
      <c r="A4">
        <v>1971</v>
      </c>
      <c r="B4">
        <v>2.5707012840466934</v>
      </c>
      <c r="C4">
        <v>-0.9350000907009578</v>
      </c>
      <c r="D4">
        <v>-0.92631741591038863</v>
      </c>
      <c r="E4">
        <v>4.5283556295969616</v>
      </c>
      <c r="F4">
        <v>-0.82095634527985362</v>
      </c>
      <c r="G4">
        <v>0.61309549391154272</v>
      </c>
    </row>
    <row r="5" spans="1:7" x14ac:dyDescent="0.2">
      <c r="A5">
        <v>1972</v>
      </c>
      <c r="B5">
        <v>2.3764848314568852</v>
      </c>
      <c r="C5">
        <v>-0.95654873748436664</v>
      </c>
      <c r="D5">
        <v>-0.90633040797266373</v>
      </c>
      <c r="E5">
        <v>3.9850259013553337</v>
      </c>
      <c r="F5">
        <v>-0.90430573577172779</v>
      </c>
      <c r="G5">
        <v>0.49437512937130335</v>
      </c>
    </row>
    <row r="6" spans="1:7" x14ac:dyDescent="0.2">
      <c r="A6">
        <v>1973</v>
      </c>
      <c r="B6">
        <v>2.1785066668805264</v>
      </c>
      <c r="C6">
        <v>-0.97384763087819515</v>
      </c>
      <c r="D6">
        <v>-0.88407804602276208</v>
      </c>
      <c r="E6">
        <v>3.4024262988554863</v>
      </c>
      <c r="F6">
        <v>-0.96259361590981363</v>
      </c>
      <c r="G6">
        <v>0.36558262346191567</v>
      </c>
    </row>
    <row r="7" spans="1:7" x14ac:dyDescent="0.2">
      <c r="A7">
        <v>1974</v>
      </c>
      <c r="B7">
        <v>1.9787449226951284</v>
      </c>
      <c r="C7">
        <v>-0.98681991538313074</v>
      </c>
      <c r="D7">
        <v>-0.85961594937674612</v>
      </c>
      <c r="E7">
        <v>2.803783229750056</v>
      </c>
      <c r="F7">
        <v>-0.99420462237855556</v>
      </c>
      <c r="G7">
        <v>0.22934192761152131</v>
      </c>
    </row>
    <row r="8" spans="1:7" x14ac:dyDescent="0.2">
      <c r="A8">
        <v>1975</v>
      </c>
      <c r="B8">
        <v>1.7791955522161944</v>
      </c>
      <c r="C8">
        <v>-0.99540795775176494</v>
      </c>
      <c r="D8">
        <v>-0.83300526053662405</v>
      </c>
      <c r="E8">
        <v>2.2129627040766646</v>
      </c>
      <c r="F8">
        <v>-0.99826270238455617</v>
      </c>
      <c r="G8">
        <v>8.8428738790735234E-2</v>
      </c>
    </row>
    <row r="9" spans="1:7" x14ac:dyDescent="0.2">
      <c r="A9">
        <v>1976</v>
      </c>
      <c r="B9">
        <v>1.5818523867912695</v>
      </c>
      <c r="C9">
        <v>-0.99957360304150511</v>
      </c>
      <c r="D9">
        <v>-0.80431249236591407</v>
      </c>
      <c r="E9">
        <v>1.6535188717519254</v>
      </c>
      <c r="F9">
        <v>-0.97465539217793373</v>
      </c>
      <c r="G9">
        <v>-5.4286051092241078E-2</v>
      </c>
    </row>
    <row r="10" spans="1:7" x14ac:dyDescent="0.2">
      <c r="A10">
        <v>1977</v>
      </c>
      <c r="B10">
        <v>1.3886872140962747</v>
      </c>
      <c r="C10">
        <v>-0.9992983441292993</v>
      </c>
      <c r="D10">
        <v>-0.77360936184213358</v>
      </c>
      <c r="E10">
        <v>1.1477549929435202</v>
      </c>
      <c r="F10">
        <v>-0.92403693382059304</v>
      </c>
      <c r="G10">
        <v>-0.19589484524761255</v>
      </c>
    </row>
    <row r="11" spans="1:7" x14ac:dyDescent="0.2">
      <c r="A11">
        <v>1978</v>
      </c>
      <c r="B11">
        <v>1.2016300766849164</v>
      </c>
      <c r="C11">
        <v>-0.9945834039350564</v>
      </c>
      <c r="D11">
        <v>-0.74097261080171961</v>
      </c>
      <c r="E11">
        <v>0.71583427746921391</v>
      </c>
      <c r="F11">
        <v>-0.84781014382476327</v>
      </c>
      <c r="G11">
        <v>-0.33351257986609623</v>
      </c>
    </row>
    <row r="12" spans="1:7" x14ac:dyDescent="0.2">
      <c r="A12">
        <v>1979</v>
      </c>
      <c r="B12">
        <v>1.0225499876412871</v>
      </c>
      <c r="C12">
        <v>-0.98544972998846014</v>
      </c>
      <c r="D12">
        <v>-0.70648381412537253</v>
      </c>
      <c r="E12">
        <v>0.37497604125057471</v>
      </c>
      <c r="F12">
        <v>-0.74808753614574053</v>
      </c>
      <c r="G12">
        <v>-0.46433550290683612</v>
      </c>
    </row>
    <row r="13" spans="1:7" x14ac:dyDescent="0.2">
      <c r="A13">
        <v>1980</v>
      </c>
      <c r="B13">
        <v>0.8532362560191542</v>
      </c>
      <c r="C13">
        <v>-0.97193790136331271</v>
      </c>
      <c r="D13">
        <v>-0.67022917584337471</v>
      </c>
      <c r="E13">
        <v>0.13876922652513901</v>
      </c>
      <c r="F13">
        <v>-0.62763277694864616</v>
      </c>
      <c r="G13">
        <v>-0.58569829628057646</v>
      </c>
    </row>
    <row r="14" spans="1:7" x14ac:dyDescent="0.2">
      <c r="A14">
        <v>1981</v>
      </c>
      <c r="B14">
        <v>0.69538060865718143</v>
      </c>
      <c r="C14">
        <v>-0.95410794839288315</v>
      </c>
      <c r="D14">
        <v>-0.63229931367037595</v>
      </c>
      <c r="E14">
        <v>1.6630653602299983E-2</v>
      </c>
      <c r="F14">
        <v>-0.489784093644206</v>
      </c>
      <c r="G14">
        <v>-0.69512837765226088</v>
      </c>
    </row>
    <row r="15" spans="1:7" x14ac:dyDescent="0.2">
      <c r="A15">
        <v>1982</v>
      </c>
      <c r="B15">
        <v>0.55056028700365056</v>
      </c>
      <c r="C15">
        <v>-0.93203908596722629</v>
      </c>
      <c r="D15">
        <v>-0.59278903250831261</v>
      </c>
      <c r="E15">
        <v>1.3429601953936832E-2</v>
      </c>
      <c r="F15">
        <v>-0.33836176080013769</v>
      </c>
      <c r="G15">
        <v>-0.79039627554523839</v>
      </c>
    </row>
    <row r="16" spans="1:7" x14ac:dyDescent="0.2">
      <c r="A16">
        <v>1983</v>
      </c>
      <c r="B16">
        <v>0.42022228784133042</v>
      </c>
      <c r="C16">
        <v>-0.90582936159738114</v>
      </c>
      <c r="D16">
        <v>-0.55179708748354439</v>
      </c>
      <c r="E16">
        <v>0.12929368740781566</v>
      </c>
      <c r="F16">
        <v>-0.17756222682133044</v>
      </c>
      <c r="G16">
        <v>-0.86956105143233364</v>
      </c>
    </row>
    <row r="17" spans="1:16" x14ac:dyDescent="0.2">
      <c r="A17">
        <v>1984</v>
      </c>
      <c r="B17">
        <v>0.30566890537379998</v>
      </c>
      <c r="C17">
        <v>-0.87559521981002553</v>
      </c>
      <c r="D17">
        <v>-0.50942593711042927</v>
      </c>
      <c r="E17">
        <v>0.35960377450709036</v>
      </c>
      <c r="F17">
        <v>-1.1841815522109757E-2</v>
      </c>
      <c r="G17">
        <v>-0.93100984340606108</v>
      </c>
    </row>
    <row r="18" spans="1:16" x14ac:dyDescent="0.2">
      <c r="A18">
        <v>1985</v>
      </c>
      <c r="B18">
        <v>0.20804471913239331</v>
      </c>
      <c r="C18">
        <v>-0.8414709848078965</v>
      </c>
      <c r="D18">
        <v>-0.46578148719844353</v>
      </c>
      <c r="E18">
        <v>0.6951781268646382</v>
      </c>
      <c r="F18">
        <v>0.1542067743682958</v>
      </c>
      <c r="G18">
        <v>-0.97349072578691043</v>
      </c>
    </row>
    <row r="19" spans="1:16" x14ac:dyDescent="0.2">
      <c r="A19">
        <v>1986</v>
      </c>
      <c r="B19">
        <v>0.12832515771575181</v>
      </c>
      <c r="C19">
        <v>-0.80360826369441118</v>
      </c>
      <c r="D19">
        <v>-0.42097282614277115</v>
      </c>
      <c r="E19">
        <v>1.1226384540180705</v>
      </c>
      <c r="F19">
        <v>0.31598174913100091</v>
      </c>
      <c r="G19">
        <v>-0.99613821520531498</v>
      </c>
    </row>
    <row r="20" spans="1:16" x14ac:dyDescent="0.2">
      <c r="A20">
        <v>1987</v>
      </c>
      <c r="B20">
        <v>6.730675262975927E-2</v>
      </c>
      <c r="C20">
        <v>-0.76217527291383969</v>
      </c>
      <c r="D20">
        <v>-0.37511195226014504</v>
      </c>
      <c r="E20">
        <v>1.6249432616528481</v>
      </c>
      <c r="F20">
        <v>0.46899975203755345</v>
      </c>
      <c r="G20">
        <v>-0.99849090350878833</v>
      </c>
    </row>
    <row r="21" spans="1:16" x14ac:dyDescent="0.2">
      <c r="A21">
        <v>1988</v>
      </c>
      <c r="B21">
        <v>2.5599179608049472E-2</v>
      </c>
      <c r="C21">
        <v>-0.71735609089952279</v>
      </c>
      <c r="D21">
        <v>-0.3283134938514034</v>
      </c>
      <c r="E21">
        <v>2.1820672422032219</v>
      </c>
      <c r="F21">
        <v>0.60902011302209713</v>
      </c>
      <c r="G21">
        <v>-0.9805008582513125</v>
      </c>
    </row>
    <row r="22" spans="1:16" x14ac:dyDescent="0.2">
      <c r="A22">
        <v>1989</v>
      </c>
      <c r="B22">
        <v>3.6191669335527976E-3</v>
      </c>
      <c r="C22">
        <v>-0.66934984025046618</v>
      </c>
      <c r="D22">
        <v>-0.28069442269038886</v>
      </c>
      <c r="E22">
        <v>2.7717996206707221</v>
      </c>
      <c r="F22">
        <v>0.73216237264730011</v>
      </c>
      <c r="G22">
        <v>-0.94253459924409888</v>
      </c>
    </row>
    <row r="23" spans="1:16" x14ac:dyDescent="0.2">
      <c r="A23">
        <v>1990</v>
      </c>
      <c r="B23">
        <v>1.5863316272926031E-3</v>
      </c>
      <c r="C23">
        <v>-0.61836980306973699</v>
      </c>
      <c r="D23">
        <v>-0.23237376165548454</v>
      </c>
      <c r="E23">
        <v>3.3706296281341395</v>
      </c>
      <c r="F23">
        <v>0.83501382336024121</v>
      </c>
      <c r="G23">
        <v>-0.8853656312717868</v>
      </c>
    </row>
    <row r="24" spans="1:16" x14ac:dyDescent="0.2">
      <c r="A24">
        <v>1991</v>
      </c>
      <c r="B24">
        <v>1.9520985107678746E-2</v>
      </c>
      <c r="C24">
        <v>-0.56464247339503537</v>
      </c>
      <c r="D24">
        <v>-0.18347228723435724</v>
      </c>
      <c r="E24">
        <v>3.9546838019132755</v>
      </c>
      <c r="F24">
        <v>0.91472408768909685</v>
      </c>
      <c r="G24">
        <v>-0.81015868510884836</v>
      </c>
    </row>
    <row r="25" spans="1:16" x14ac:dyDescent="0.2">
      <c r="A25">
        <v>1992</v>
      </c>
      <c r="B25">
        <v>5.7243930245550301E-2</v>
      </c>
      <c r="C25">
        <v>-0.50840655093130116</v>
      </c>
      <c r="D25">
        <v>-0.13411222764565714</v>
      </c>
      <c r="E25">
        <v>4.5006777451890843</v>
      </c>
      <c r="F25">
        <v>0.96908411228410185</v>
      </c>
      <c r="G25">
        <v>-0.71844598790173697</v>
      </c>
    </row>
    <row r="26" spans="1:16" x14ac:dyDescent="0.2">
      <c r="A26">
        <v>1993</v>
      </c>
      <c r="B26">
        <v>0.1143782518426264</v>
      </c>
      <c r="C26">
        <v>-0.44991188055599968</v>
      </c>
      <c r="D26">
        <v>-8.4416957332147907E-2</v>
      </c>
      <c r="E26">
        <v>4.9868444024268133</v>
      </c>
      <c r="F26">
        <v>0.99658738859915774</v>
      </c>
      <c r="G26">
        <v>-0.61209604637077364</v>
      </c>
    </row>
    <row r="27" spans="1:16" x14ac:dyDescent="0.2">
      <c r="A27">
        <v>1994</v>
      </c>
      <c r="B27">
        <v>0.1903530826436215</v>
      </c>
      <c r="C27">
        <v>-0.38941834230865052</v>
      </c>
      <c r="D27">
        <v>-3.4510688588802733E-2</v>
      </c>
      <c r="E27">
        <v>5.3938018431897232</v>
      </c>
      <c r="F27">
        <v>0.99647170357196591</v>
      </c>
      <c r="G27">
        <v>-0.49327557882774464</v>
      </c>
      <c r="K27" t="s">
        <v>153</v>
      </c>
      <c r="N27" t="s">
        <v>11</v>
      </c>
    </row>
    <row r="28" spans="1:16" x14ac:dyDescent="0.2">
      <c r="A28">
        <v>1995</v>
      </c>
      <c r="B28">
        <v>0.28440930725308999</v>
      </c>
      <c r="C28">
        <v>-0.32719469679615221</v>
      </c>
      <c r="D28">
        <v>1.5481838903188175E-2</v>
      </c>
      <c r="E28">
        <v>5.7053259585432148</v>
      </c>
      <c r="F28">
        <v>0.96874026324377926</v>
      </c>
      <c r="G28">
        <v>-0.36440537158548741</v>
      </c>
      <c r="J28" s="35" t="s">
        <v>171</v>
      </c>
      <c r="K28" s="35" t="s">
        <v>172</v>
      </c>
      <c r="L28" s="35" t="s">
        <v>173</v>
      </c>
      <c r="M28" s="35" t="s">
        <v>174</v>
      </c>
      <c r="N28" s="35" t="s">
        <v>175</v>
      </c>
      <c r="O28" s="35" t="s">
        <v>176</v>
      </c>
      <c r="P28" s="35" t="s">
        <v>177</v>
      </c>
    </row>
    <row r="29" spans="1:16" x14ac:dyDescent="0.2">
      <c r="A29">
        <v>1996</v>
      </c>
      <c r="B29">
        <v>0.3956071469655984</v>
      </c>
      <c r="C29">
        <v>-0.26351739114353506</v>
      </c>
      <c r="D29">
        <v>6.5435669860706952E-2</v>
      </c>
      <c r="E29">
        <v>5.9089972650793392</v>
      </c>
      <c r="F29">
        <v>0.91416160390872936</v>
      </c>
      <c r="G29">
        <v>-0.22811095911894083</v>
      </c>
      <c r="J29">
        <v>1970</v>
      </c>
      <c r="K29">
        <f>VLOOKUP($J$29,$A$3:$G$43,2)</f>
        <v>2.7592154780550433</v>
      </c>
      <c r="L29">
        <f>VLOOKUP($J$29,$A$3:$G$43,3)</f>
        <v>-0.90929742682568171</v>
      </c>
      <c r="M29">
        <f>VLOOKUP($J$29,$A$3:$G$43,4)</f>
        <v>-0.94398911272511932</v>
      </c>
      <c r="N29">
        <f>VLOOKUP($J$29,$A$3:$G$43,5)</f>
        <v>5.0107546418916549</v>
      </c>
      <c r="O29">
        <f>VLOOKUP($J$29,$A$3:$G$43,6)</f>
        <v>-0.71485535084096952</v>
      </c>
      <c r="P29">
        <f>VLOOKUP($J$29,$A$3:$G$43,7)</f>
        <v>0.71932497021612618</v>
      </c>
    </row>
    <row r="30" spans="1:16" x14ac:dyDescent="0.2">
      <c r="A30">
        <v>1997</v>
      </c>
      <c r="B30">
        <v>0.52283554972387725</v>
      </c>
      <c r="C30">
        <v>-0.19866933079506122</v>
      </c>
      <c r="D30">
        <v>0.11522594572181913</v>
      </c>
      <c r="E30">
        <v>5.9966960305284776</v>
      </c>
      <c r="F30">
        <v>0.8342482932548031</v>
      </c>
      <c r="G30">
        <v>-8.7169132792761408E-2</v>
      </c>
    </row>
    <row r="31" spans="1:16" x14ac:dyDescent="0.2">
      <c r="A31">
        <v>1998</v>
      </c>
      <c r="B31">
        <v>0.66482329138364848</v>
      </c>
      <c r="C31">
        <v>-0.13293862262231407</v>
      </c>
      <c r="D31">
        <v>0.1647282167271322</v>
      </c>
      <c r="E31">
        <v>5.9649259818616045</v>
      </c>
      <c r="F31">
        <v>0.73121501176355796</v>
      </c>
      <c r="G31">
        <v>5.5548632039239307E-2</v>
      </c>
    </row>
    <row r="32" spans="1:16" x14ac:dyDescent="0.2">
      <c r="A32">
        <v>1999</v>
      </c>
      <c r="B32">
        <v>0.82015167736519468</v>
      </c>
      <c r="C32">
        <v>-6.6617294923392995E-2</v>
      </c>
      <c r="D32">
        <v>0.21381875297943129</v>
      </c>
      <c r="E32">
        <v>5.8149536906628985</v>
      </c>
      <c r="F32">
        <v>0.607917176080912</v>
      </c>
      <c r="G32">
        <v>0.19713467797686618</v>
      </c>
    </row>
    <row r="33" spans="1:7" x14ac:dyDescent="0.2">
      <c r="A33">
        <v>2000</v>
      </c>
      <c r="B33">
        <v>0.98726871778048242</v>
      </c>
      <c r="C33">
        <v>0</v>
      </c>
      <c r="D33">
        <v>0.26237485370392877</v>
      </c>
      <c r="E33">
        <v>5.5527580789175293</v>
      </c>
      <c r="F33">
        <v>0.46777180532247614</v>
      </c>
      <c r="G33">
        <v>0.33470440467151341</v>
      </c>
    </row>
    <row r="34" spans="1:7" x14ac:dyDescent="0.2">
      <c r="A34">
        <v>2001</v>
      </c>
      <c r="B34">
        <v>1.1645046344032526</v>
      </c>
      <c r="C34">
        <v>6.6617294923392995E-2</v>
      </c>
      <c r="D34">
        <v>0.31027515393634886</v>
      </c>
      <c r="E34">
        <v>5.1887920582596827</v>
      </c>
      <c r="F34">
        <v>0.31466282338854518</v>
      </c>
      <c r="G34">
        <v>0.46545503817064482</v>
      </c>
    </row>
    <row r="35" spans="1:7" x14ac:dyDescent="0.2">
      <c r="A35">
        <v>2002</v>
      </c>
      <c r="B35">
        <v>1.350088544541042</v>
      </c>
      <c r="C35">
        <v>0.13293862262231407</v>
      </c>
      <c r="D35">
        <v>0.35739992787211133</v>
      </c>
      <c r="E35">
        <v>4.7375658053717906</v>
      </c>
      <c r="F35">
        <v>0.15283342169576583</v>
      </c>
      <c r="G35">
        <v>0.58672273317456225</v>
      </c>
    </row>
    <row r="36" spans="1:7" x14ac:dyDescent="0.2">
      <c r="A36">
        <v>2003</v>
      </c>
      <c r="B36">
        <v>1.5421661551095864</v>
      </c>
      <c r="C36">
        <v>0.19866933079506122</v>
      </c>
      <c r="D36">
        <v>0.4036313881184711</v>
      </c>
      <c r="E36">
        <v>4.2170682870295533</v>
      </c>
      <c r="F36">
        <v>-1.3231534664836536E-2</v>
      </c>
      <c r="G36">
        <v>0.69603684483258554</v>
      </c>
    </row>
    <row r="37" spans="1:7" x14ac:dyDescent="0.2">
      <c r="A37">
        <v>2004</v>
      </c>
      <c r="B37">
        <v>1.7388182901165556</v>
      </c>
      <c r="C37">
        <v>0.26351739114353506</v>
      </c>
      <c r="D37">
        <v>0.44885398010170457</v>
      </c>
      <c r="E37">
        <v>3.6480500967646656</v>
      </c>
      <c r="F37">
        <v>-0.17892979840160328</v>
      </c>
      <c r="G37">
        <v>0.7911702643748767</v>
      </c>
    </row>
    <row r="38" spans="1:7" x14ac:dyDescent="0.2">
      <c r="A38">
        <v>2005</v>
      </c>
      <c r="B38">
        <v>1.9380800664334572</v>
      </c>
      <c r="C38">
        <v>0.32719469679615221</v>
      </c>
      <c r="D38">
        <v>0.49295467089331141</v>
      </c>
      <c r="E38">
        <v>3.0531961941821124</v>
      </c>
      <c r="F38">
        <v>-0.3396692845724284</v>
      </c>
      <c r="G38">
        <v>0.87018479306609198</v>
      </c>
    </row>
    <row r="39" spans="1:7" x14ac:dyDescent="0.2">
      <c r="A39">
        <v>2006</v>
      </c>
      <c r="B39">
        <v>2.137960526258547</v>
      </c>
      <c r="C39">
        <v>0.38941834230865052</v>
      </c>
      <c r="D39">
        <v>0.53582323173351487</v>
      </c>
      <c r="E39">
        <v>2.4562215272078172</v>
      </c>
      <c r="F39">
        <v>-0.49099533350029317</v>
      </c>
      <c r="G39">
        <v>0.93147063005668496</v>
      </c>
    </row>
    <row r="40" spans="1:7" x14ac:dyDescent="0.2">
      <c r="A40">
        <v>2007</v>
      </c>
      <c r="B40">
        <v>2.3364625301089763</v>
      </c>
      <c r="C40">
        <v>0.44991188055599968</v>
      </c>
      <c r="D40">
        <v>0.57735251354573514</v>
      </c>
      <c r="E40">
        <v>1.8809255919515422</v>
      </c>
      <c r="F40">
        <v>-0.62871416514815892</v>
      </c>
      <c r="G40">
        <v>0.97377916962725697</v>
      </c>
    </row>
    <row r="41" spans="1:7" x14ac:dyDescent="0.2">
      <c r="A41">
        <v>2008</v>
      </c>
      <c r="B41">
        <v>2.5316027115782544</v>
      </c>
      <c r="C41">
        <v>0.50840655093130116</v>
      </c>
      <c r="D41">
        <v>0.61743871475346179</v>
      </c>
      <c r="E41">
        <v>1.3502436219005047</v>
      </c>
      <c r="F41">
        <v>-0.74900910359684936</v>
      </c>
      <c r="G41">
        <v>0.99624843963082943</v>
      </c>
    </row>
    <row r="42" spans="1:7" x14ac:dyDescent="0.2">
      <c r="A42">
        <v>2009</v>
      </c>
      <c r="B42">
        <v>2.7214312944779628</v>
      </c>
      <c r="C42">
        <v>0.56464247339503537</v>
      </c>
      <c r="D42">
        <v>0.65598164073017695</v>
      </c>
      <c r="E42">
        <v>0.88533223253714066</v>
      </c>
      <c r="F42">
        <v>-0.84854635063397388</v>
      </c>
      <c r="G42">
        <v>0.99842066286443387</v>
      </c>
    </row>
    <row r="43" spans="1:7" x14ac:dyDescent="0.2">
      <c r="A43">
        <v>2010</v>
      </c>
      <c r="B43">
        <v>2.9040515743567012</v>
      </c>
      <c r="C43">
        <v>0.61836980306973699</v>
      </c>
      <c r="D43">
        <v>0.69288495423369567</v>
      </c>
      <c r="E43">
        <v>0.50472597384248008</v>
      </c>
      <c r="F43">
        <v>-0.92456737709337322</v>
      </c>
      <c r="G43">
        <v>0.98025158358340192</v>
      </c>
    </row>
    <row r="45" spans="1:7" x14ac:dyDescent="0.2">
      <c r="A45" t="s">
        <v>179</v>
      </c>
    </row>
    <row r="46" spans="1:7" x14ac:dyDescent="0.2">
      <c r="A46" s="42" t="s">
        <v>178</v>
      </c>
    </row>
  </sheetData>
  <phoneticPr fontId="6" type="noConversion"/>
  <hyperlinks>
    <hyperlink ref="A46" r:id="rId1"/>
  </hyperlinks>
  <pageMargins left="0.78740157499999996" right="0.78740157499999996" top="0.984251969" bottom="0.984251969" header="0.4921259845" footer="0.4921259845"/>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70" r:id="rId5" name="Scroll Bar 2">
              <controlPr defaultSize="0" autoPict="0">
                <anchor moveWithCells="1">
                  <from>
                    <xdr:col>7</xdr:col>
                    <xdr:colOff>161925</xdr:colOff>
                    <xdr:row>25</xdr:row>
                    <xdr:rowOff>104775</xdr:rowOff>
                  </from>
                  <to>
                    <xdr:col>7</xdr:col>
                    <xdr:colOff>400050</xdr:colOff>
                    <xdr:row>47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heetViews>
  <sheetFormatPr defaultRowHeight="12.75" x14ac:dyDescent="0.2"/>
  <sheetData>
    <row r="1" spans="1:19" x14ac:dyDescent="0.2">
      <c r="A1" t="s">
        <v>152</v>
      </c>
    </row>
    <row r="3" spans="1:19" x14ac:dyDescent="0.2">
      <c r="A3" s="35" t="s">
        <v>3</v>
      </c>
      <c r="B3" s="35" t="s">
        <v>5</v>
      </c>
      <c r="D3" t="s">
        <v>155</v>
      </c>
      <c r="H3" s="35" t="s">
        <v>3</v>
      </c>
      <c r="I3" s="35" t="s">
        <v>5</v>
      </c>
      <c r="K3" t="s">
        <v>156</v>
      </c>
      <c r="O3" s="35" t="s">
        <v>3</v>
      </c>
      <c r="P3" s="35" t="s">
        <v>5</v>
      </c>
      <c r="R3" t="s">
        <v>156</v>
      </c>
    </row>
    <row r="4" spans="1:19" x14ac:dyDescent="0.2">
      <c r="A4" t="s">
        <v>153</v>
      </c>
      <c r="B4">
        <f t="shared" ref="B4:B12" si="0">VLOOKUP(A4,$D$4:$E$6,2)</f>
        <v>1</v>
      </c>
      <c r="D4" t="s">
        <v>153</v>
      </c>
      <c r="E4">
        <v>1</v>
      </c>
      <c r="H4" t="s">
        <v>153</v>
      </c>
      <c r="I4">
        <f>VLOOKUP(H4,$K$4:$L$6,2)</f>
        <v>1</v>
      </c>
      <c r="K4" t="s">
        <v>154</v>
      </c>
      <c r="L4">
        <v>3</v>
      </c>
      <c r="O4" t="s">
        <v>153</v>
      </c>
      <c r="P4">
        <f>VLOOKUP(O4,$R$4:$S$6,2,0)</f>
        <v>1</v>
      </c>
      <c r="R4" t="s">
        <v>154</v>
      </c>
      <c r="S4">
        <v>3</v>
      </c>
    </row>
    <row r="5" spans="1:19" x14ac:dyDescent="0.2">
      <c r="A5" t="s">
        <v>11</v>
      </c>
      <c r="B5">
        <f t="shared" si="0"/>
        <v>2</v>
      </c>
      <c r="D5" t="s">
        <v>11</v>
      </c>
      <c r="E5">
        <v>2</v>
      </c>
      <c r="H5" t="s">
        <v>11</v>
      </c>
      <c r="I5">
        <f t="shared" ref="I5:I12" si="1">VLOOKUP(H5,$K$4:$L$6,2)</f>
        <v>2</v>
      </c>
      <c r="K5" t="s">
        <v>153</v>
      </c>
      <c r="L5">
        <v>1</v>
      </c>
      <c r="O5" t="s">
        <v>11</v>
      </c>
      <c r="P5">
        <f t="shared" ref="P5:P12" si="2">VLOOKUP(O5,$R$4:$S$6,2,0)</f>
        <v>2</v>
      </c>
      <c r="R5" t="s">
        <v>153</v>
      </c>
      <c r="S5">
        <v>1</v>
      </c>
    </row>
    <row r="6" spans="1:19" x14ac:dyDescent="0.2">
      <c r="A6" t="s">
        <v>154</v>
      </c>
      <c r="B6">
        <f t="shared" si="0"/>
        <v>3</v>
      </c>
      <c r="D6" t="s">
        <v>154</v>
      </c>
      <c r="E6">
        <v>3</v>
      </c>
      <c r="H6" t="s">
        <v>154</v>
      </c>
      <c r="I6">
        <f t="shared" si="1"/>
        <v>2</v>
      </c>
      <c r="K6" t="s">
        <v>11</v>
      </c>
      <c r="L6">
        <v>2</v>
      </c>
      <c r="O6" t="s">
        <v>154</v>
      </c>
      <c r="P6">
        <f t="shared" si="2"/>
        <v>3</v>
      </c>
      <c r="R6" t="s">
        <v>11</v>
      </c>
      <c r="S6">
        <v>2</v>
      </c>
    </row>
    <row r="7" spans="1:19" x14ac:dyDescent="0.2">
      <c r="A7" t="s">
        <v>153</v>
      </c>
      <c r="B7">
        <f t="shared" si="0"/>
        <v>1</v>
      </c>
      <c r="H7" t="s">
        <v>153</v>
      </c>
      <c r="I7">
        <f t="shared" si="1"/>
        <v>1</v>
      </c>
      <c r="O7" t="s">
        <v>153</v>
      </c>
      <c r="P7">
        <f t="shared" si="2"/>
        <v>1</v>
      </c>
    </row>
    <row r="8" spans="1:19" x14ac:dyDescent="0.2">
      <c r="A8" t="s">
        <v>153</v>
      </c>
      <c r="B8">
        <f t="shared" si="0"/>
        <v>1</v>
      </c>
      <c r="H8" t="s">
        <v>153</v>
      </c>
      <c r="I8">
        <f t="shared" si="1"/>
        <v>1</v>
      </c>
      <c r="O8" t="s">
        <v>153</v>
      </c>
      <c r="P8">
        <f t="shared" si="2"/>
        <v>1</v>
      </c>
    </row>
    <row r="9" spans="1:19" x14ac:dyDescent="0.2">
      <c r="A9" t="s">
        <v>11</v>
      </c>
      <c r="B9">
        <f t="shared" si="0"/>
        <v>2</v>
      </c>
      <c r="H9" t="s">
        <v>11</v>
      </c>
      <c r="I9">
        <f t="shared" si="1"/>
        <v>2</v>
      </c>
      <c r="O9" t="s">
        <v>11</v>
      </c>
      <c r="P9">
        <f t="shared" si="2"/>
        <v>2</v>
      </c>
    </row>
    <row r="10" spans="1:19" x14ac:dyDescent="0.2">
      <c r="A10" t="s">
        <v>153</v>
      </c>
      <c r="B10">
        <f t="shared" si="0"/>
        <v>1</v>
      </c>
      <c r="H10" t="s">
        <v>153</v>
      </c>
      <c r="I10">
        <f t="shared" si="1"/>
        <v>1</v>
      </c>
      <c r="O10" t="s">
        <v>153</v>
      </c>
      <c r="P10">
        <f t="shared" si="2"/>
        <v>1</v>
      </c>
    </row>
    <row r="11" spans="1:19" x14ac:dyDescent="0.2">
      <c r="A11" t="s">
        <v>154</v>
      </c>
      <c r="B11">
        <f t="shared" si="0"/>
        <v>3</v>
      </c>
      <c r="H11" t="s">
        <v>154</v>
      </c>
      <c r="I11">
        <f t="shared" si="1"/>
        <v>2</v>
      </c>
      <c r="O11" t="s">
        <v>154</v>
      </c>
      <c r="P11">
        <f t="shared" si="2"/>
        <v>3</v>
      </c>
    </row>
    <row r="12" spans="1:19" x14ac:dyDescent="0.2">
      <c r="A12" t="s">
        <v>154</v>
      </c>
      <c r="B12">
        <f t="shared" si="0"/>
        <v>3</v>
      </c>
      <c r="H12" t="s">
        <v>154</v>
      </c>
      <c r="I12">
        <f t="shared" si="1"/>
        <v>2</v>
      </c>
      <c r="O12" t="s">
        <v>154</v>
      </c>
      <c r="P12">
        <f t="shared" si="2"/>
        <v>3</v>
      </c>
    </row>
    <row r="21" spans="1:18" x14ac:dyDescent="0.2">
      <c r="A21" t="s">
        <v>157</v>
      </c>
      <c r="H21" t="s">
        <v>165</v>
      </c>
      <c r="O21" t="s">
        <v>165</v>
      </c>
    </row>
    <row r="23" spans="1:18" x14ac:dyDescent="0.2">
      <c r="A23" s="35" t="s">
        <v>158</v>
      </c>
      <c r="B23" s="35" t="s">
        <v>164</v>
      </c>
      <c r="D23" t="s">
        <v>158</v>
      </c>
      <c r="E23" t="s">
        <v>164</v>
      </c>
      <c r="H23" s="35" t="s">
        <v>168</v>
      </c>
      <c r="I23" s="35" t="s">
        <v>169</v>
      </c>
      <c r="K23" t="s">
        <v>167</v>
      </c>
      <c r="O23" s="35" t="s">
        <v>168</v>
      </c>
      <c r="P23" s="35" t="s">
        <v>169</v>
      </c>
      <c r="R23" t="s">
        <v>167</v>
      </c>
    </row>
    <row r="24" spans="1:18" x14ac:dyDescent="0.2">
      <c r="A24">
        <v>-19</v>
      </c>
      <c r="B24" t="str">
        <f>VLOOKUP(A24,$D$24:$E$29,2)</f>
        <v>Kožich</v>
      </c>
      <c r="D24">
        <v>-20</v>
      </c>
      <c r="E24" t="s">
        <v>159</v>
      </c>
      <c r="H24" t="s">
        <v>153</v>
      </c>
      <c r="I24" t="str">
        <f>VLOOKUP(H24,$K$24:$K$26,1)</f>
        <v>A</v>
      </c>
      <c r="K24" t="s">
        <v>153</v>
      </c>
      <c r="O24" t="s">
        <v>153</v>
      </c>
      <c r="P24" t="str">
        <f>VLOOKUP(O24,$R$24:$R$26,1,0)</f>
        <v>A</v>
      </c>
      <c r="R24" t="s">
        <v>154</v>
      </c>
    </row>
    <row r="25" spans="1:18" x14ac:dyDescent="0.2">
      <c r="A25">
        <v>9</v>
      </c>
      <c r="B25" t="str">
        <f t="shared" ref="B25:B33" si="3">VLOOKUP(A25,$D$24:$E$29,2)</f>
        <v>Svetr</v>
      </c>
      <c r="D25">
        <v>-10</v>
      </c>
      <c r="E25" t="s">
        <v>170</v>
      </c>
      <c r="H25" t="s">
        <v>11</v>
      </c>
      <c r="I25" t="str">
        <f t="shared" ref="I25:I32" si="4">VLOOKUP(H25,$K$24:$K$26,1)</f>
        <v>B</v>
      </c>
      <c r="K25" t="s">
        <v>11</v>
      </c>
      <c r="O25" t="s">
        <v>11</v>
      </c>
      <c r="P25" t="str">
        <f t="shared" ref="P25:P32" si="5">VLOOKUP(O25,$R$24:$R$26,1,0)</f>
        <v>B</v>
      </c>
      <c r="R25" t="s">
        <v>153</v>
      </c>
    </row>
    <row r="26" spans="1:18" x14ac:dyDescent="0.2">
      <c r="A26">
        <v>1</v>
      </c>
      <c r="B26" t="str">
        <f t="shared" si="3"/>
        <v>Svetr</v>
      </c>
      <c r="D26">
        <v>0</v>
      </c>
      <c r="E26" t="s">
        <v>160</v>
      </c>
      <c r="H26" t="s">
        <v>166</v>
      </c>
      <c r="I26" t="str">
        <f t="shared" si="4"/>
        <v>C</v>
      </c>
      <c r="K26" t="s">
        <v>154</v>
      </c>
      <c r="O26" t="s">
        <v>166</v>
      </c>
      <c r="P26" t="e">
        <f t="shared" si="5"/>
        <v>#N/A</v>
      </c>
      <c r="R26" t="s">
        <v>11</v>
      </c>
    </row>
    <row r="27" spans="1:18" x14ac:dyDescent="0.2">
      <c r="A27">
        <v>70</v>
      </c>
      <c r="B27" t="str">
        <f t="shared" si="3"/>
        <v>Plavky</v>
      </c>
      <c r="D27">
        <v>10</v>
      </c>
      <c r="E27" t="s">
        <v>161</v>
      </c>
      <c r="H27" t="s">
        <v>153</v>
      </c>
      <c r="I27" t="str">
        <f t="shared" si="4"/>
        <v>A</v>
      </c>
      <c r="O27" t="s">
        <v>153</v>
      </c>
      <c r="P27" t="str">
        <f t="shared" si="5"/>
        <v>A</v>
      </c>
    </row>
    <row r="28" spans="1:18" x14ac:dyDescent="0.2">
      <c r="A28">
        <v>-50</v>
      </c>
      <c r="B28" t="e">
        <f t="shared" si="3"/>
        <v>#N/A</v>
      </c>
      <c r="D28">
        <v>20</v>
      </c>
      <c r="E28" t="s">
        <v>162</v>
      </c>
      <c r="H28" t="s">
        <v>153</v>
      </c>
      <c r="I28" t="str">
        <f t="shared" si="4"/>
        <v>A</v>
      </c>
      <c r="O28" t="s">
        <v>153</v>
      </c>
      <c r="P28" t="str">
        <f t="shared" si="5"/>
        <v>A</v>
      </c>
    </row>
    <row r="29" spans="1:18" x14ac:dyDescent="0.2">
      <c r="A29">
        <v>22</v>
      </c>
      <c r="B29" t="str">
        <f t="shared" si="3"/>
        <v>Tričko</v>
      </c>
      <c r="D29">
        <v>30</v>
      </c>
      <c r="E29" t="s">
        <v>163</v>
      </c>
      <c r="H29" t="s">
        <v>11</v>
      </c>
      <c r="I29" t="str">
        <f t="shared" si="4"/>
        <v>B</v>
      </c>
      <c r="O29" t="s">
        <v>11</v>
      </c>
      <c r="P29" t="str">
        <f t="shared" si="5"/>
        <v>B</v>
      </c>
    </row>
    <row r="30" spans="1:18" x14ac:dyDescent="0.2">
      <c r="A30">
        <v>16</v>
      </c>
      <c r="B30" t="str">
        <f t="shared" si="3"/>
        <v>Mikina</v>
      </c>
      <c r="H30" t="s">
        <v>153</v>
      </c>
      <c r="I30" t="str">
        <f t="shared" si="4"/>
        <v>A</v>
      </c>
      <c r="O30" t="s">
        <v>153</v>
      </c>
      <c r="P30" t="str">
        <f t="shared" si="5"/>
        <v>A</v>
      </c>
    </row>
    <row r="31" spans="1:18" x14ac:dyDescent="0.2">
      <c r="A31">
        <v>31</v>
      </c>
      <c r="B31" t="str">
        <f t="shared" si="3"/>
        <v>Plavky</v>
      </c>
      <c r="H31" t="s">
        <v>154</v>
      </c>
      <c r="I31" t="str">
        <f t="shared" si="4"/>
        <v>C</v>
      </c>
      <c r="O31" t="s">
        <v>154</v>
      </c>
      <c r="P31" t="str">
        <f t="shared" si="5"/>
        <v>C</v>
      </c>
    </row>
    <row r="32" spans="1:18" x14ac:dyDescent="0.2">
      <c r="A32">
        <v>0</v>
      </c>
      <c r="B32" t="str">
        <f t="shared" si="3"/>
        <v>Svetr</v>
      </c>
      <c r="H32" t="s">
        <v>154</v>
      </c>
      <c r="I32" t="str">
        <f t="shared" si="4"/>
        <v>C</v>
      </c>
      <c r="O32" t="s">
        <v>154</v>
      </c>
      <c r="P32" t="str">
        <f t="shared" si="5"/>
        <v>C</v>
      </c>
    </row>
    <row r="33" spans="1:2" x14ac:dyDescent="0.2">
      <c r="A33">
        <v>-8</v>
      </c>
      <c r="B33" t="str">
        <f t="shared" si="3"/>
        <v>Bunda</v>
      </c>
    </row>
  </sheetData>
  <phoneticPr fontId="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6"/>
  <sheetViews>
    <sheetView workbookViewId="0"/>
  </sheetViews>
  <sheetFormatPr defaultRowHeight="12.75" x14ac:dyDescent="0.2"/>
  <cols>
    <col min="2" max="2" width="6.42578125" style="4" bestFit="1" customWidth="1"/>
    <col min="3" max="3" width="9.85546875" style="4" bestFit="1" customWidth="1"/>
    <col min="4" max="4" width="8.5703125" customWidth="1"/>
    <col min="5" max="5" width="6.42578125" customWidth="1"/>
    <col min="6" max="6" width="6" bestFit="1" customWidth="1"/>
    <col min="7" max="7" width="8" bestFit="1" customWidth="1"/>
    <col min="8" max="8" width="9.28515625" customWidth="1"/>
    <col min="24" max="24" width="11" bestFit="1" customWidth="1"/>
  </cols>
  <sheetData>
    <row r="1" spans="1:21" x14ac:dyDescent="0.2">
      <c r="A1" s="1" t="s">
        <v>0</v>
      </c>
      <c r="B1" s="2" t="s">
        <v>1</v>
      </c>
      <c r="C1" s="2" t="s">
        <v>266</v>
      </c>
      <c r="D1" s="1" t="s">
        <v>3</v>
      </c>
      <c r="E1" s="1" t="s">
        <v>4</v>
      </c>
      <c r="F1" s="1" t="s">
        <v>5</v>
      </c>
      <c r="G1" s="1" t="s">
        <v>6</v>
      </c>
      <c r="H1" s="1" t="s">
        <v>7</v>
      </c>
      <c r="J1" t="s">
        <v>81</v>
      </c>
    </row>
    <row r="2" spans="1:21" x14ac:dyDescent="0.2">
      <c r="A2" s="3">
        <v>35800</v>
      </c>
      <c r="B2" s="4">
        <f t="array" ref="B2:B166">MONTH(Datum)</f>
        <v>1</v>
      </c>
      <c r="C2" s="4">
        <f t="array" ref="C2:C166">WEEKDAY(Datum,2)</f>
        <v>1</v>
      </c>
      <c r="D2" t="s">
        <v>8</v>
      </c>
      <c r="E2">
        <v>2</v>
      </c>
      <c r="F2">
        <f t="array" ref="F2:F166">VLOOKUP(Výrobek,$I$169:$J$175,2)</f>
        <v>3800</v>
      </c>
      <c r="G2">
        <f t="array" ref="G2:G166">Počet*Cena</f>
        <v>7600</v>
      </c>
      <c r="H2" t="s">
        <v>9</v>
      </c>
      <c r="J2" t="s">
        <v>76</v>
      </c>
      <c r="K2" t="s">
        <v>8</v>
      </c>
      <c r="L2" t="s">
        <v>12</v>
      </c>
      <c r="M2" t="s">
        <v>14</v>
      </c>
      <c r="N2" t="s">
        <v>10</v>
      </c>
      <c r="O2" t="s">
        <v>17</v>
      </c>
      <c r="P2" t="s">
        <v>13</v>
      </c>
      <c r="Q2" t="s">
        <v>62</v>
      </c>
      <c r="T2" s="36"/>
      <c r="U2" s="36"/>
    </row>
    <row r="3" spans="1:21" x14ac:dyDescent="0.2">
      <c r="A3" s="3">
        <v>35800</v>
      </c>
      <c r="B3" s="4">
        <v>1</v>
      </c>
      <c r="C3" s="4">
        <v>1</v>
      </c>
      <c r="D3" t="s">
        <v>10</v>
      </c>
      <c r="E3">
        <v>2</v>
      </c>
      <c r="F3">
        <v>10000</v>
      </c>
      <c r="G3">
        <v>20000</v>
      </c>
      <c r="H3" t="s">
        <v>9</v>
      </c>
      <c r="J3">
        <v>1</v>
      </c>
      <c r="K3">
        <f t="array" ref="K3">SUM(IF(IF($J$2="vše",$J$2,Zákazník)&amp;$J3&amp;K$2=$J$2&amp;Den&amp;Výrobek,Tržba))</f>
        <v>402800</v>
      </c>
      <c r="L3">
        <f t="array" ref="L3">SUM(IF(IF($J$2="vše",$J$2,Zákazník)&amp;$J3&amp;L$2=$J$2&amp;Den&amp;Výrobek,Tržba))</f>
        <v>256000</v>
      </c>
      <c r="M3">
        <f t="array" ref="M3">SUM(IF(IF($J$2="vše",$J$2,Zákazník)&amp;$J3&amp;M$2=$J$2&amp;Den&amp;Výrobek,Tržba))</f>
        <v>81600</v>
      </c>
      <c r="N3">
        <f t="array" ref="N3">SUM(IF(IF($J$2="vše",$J$2,Zákazník)&amp;$J3&amp;N$2=$J$2&amp;Den&amp;Výrobek,Tržba))</f>
        <v>280000</v>
      </c>
      <c r="O3">
        <f t="array" ref="O3">SUM(IF(IF($J$2="vše",$J$2,Zákazník)&amp;$J3&amp;O$2=$J$2&amp;Den&amp;Výrobek,Tržba))</f>
        <v>140600</v>
      </c>
      <c r="P3">
        <f t="array" ref="P3">SUM(IF(IF($J$2="vše",$J$2,Zákazník)&amp;$J3&amp;P$2=$J$2&amp;Den&amp;Výrobek,Tržba))</f>
        <v>912000</v>
      </c>
      <c r="Q3">
        <f>SUM(K3:P3)</f>
        <v>2073000</v>
      </c>
      <c r="T3" s="36"/>
    </row>
    <row r="4" spans="1:21" x14ac:dyDescent="0.2">
      <c r="A4" s="3">
        <v>35801</v>
      </c>
      <c r="B4" s="4">
        <v>1</v>
      </c>
      <c r="C4" s="4">
        <v>2</v>
      </c>
      <c r="D4" t="s">
        <v>8</v>
      </c>
      <c r="E4">
        <v>8</v>
      </c>
      <c r="F4">
        <v>3800</v>
      </c>
      <c r="G4">
        <v>30400</v>
      </c>
      <c r="H4" t="s">
        <v>11</v>
      </c>
      <c r="J4">
        <v>2</v>
      </c>
      <c r="K4">
        <f t="array" ref="K4">SUM(IF(IF($J$2="vše",$J$2,Zákazník)&amp;$J4&amp;K$2=$J$2&amp;Den&amp;Výrobek,Tržba))</f>
        <v>190000</v>
      </c>
      <c r="L4">
        <f t="array" ref="L4">SUM(IF(IF($J$2="vše",$J$2,Zákazník)&amp;$J4&amp;L$2=$J$2&amp;Den&amp;Výrobek,Tržba))</f>
        <v>136000</v>
      </c>
      <c r="M4">
        <f t="array" ref="M4">SUM(IF(IF($J$2="vše",$J$2,Zákazník)&amp;$J4&amp;M$2=$J$2&amp;Den&amp;Výrobek,Tržba))</f>
        <v>38400</v>
      </c>
      <c r="N4">
        <f t="array" ref="N4">SUM(IF(IF($J$2="vše",$J$2,Zákazník)&amp;$J4&amp;N$2=$J$2&amp;Den&amp;Výrobek,Tržba))</f>
        <v>40000</v>
      </c>
      <c r="O4">
        <f t="array" ref="O4">SUM(IF(IF($J$2="vše",$J$2,Zákazník)&amp;$J4&amp;O$2=$J$2&amp;Den&amp;Výrobek,Tržba))</f>
        <v>53200</v>
      </c>
      <c r="P4">
        <f t="array" ref="P4">SUM(IF(IF($J$2="vše",$J$2,Zákazník)&amp;$J4&amp;P$2=$J$2&amp;Den&amp;Výrobek,Tržba))</f>
        <v>152000</v>
      </c>
      <c r="Q4">
        <f>SUM(K4:P4)</f>
        <v>609600</v>
      </c>
      <c r="T4" s="36"/>
    </row>
    <row r="5" spans="1:21" x14ac:dyDescent="0.2">
      <c r="A5" s="3">
        <v>35801</v>
      </c>
      <c r="B5" s="4">
        <v>1</v>
      </c>
      <c r="C5" s="4">
        <v>2</v>
      </c>
      <c r="D5" t="s">
        <v>12</v>
      </c>
      <c r="E5">
        <v>10</v>
      </c>
      <c r="F5">
        <v>4000</v>
      </c>
      <c r="G5">
        <v>40000</v>
      </c>
      <c r="H5" t="s">
        <v>11</v>
      </c>
      <c r="J5">
        <v>3</v>
      </c>
      <c r="K5">
        <f t="array" ref="K5">SUM(IF(IF($J$2="vše",$J$2,Zákazník)&amp;$J5&amp;K$2=$J$2&amp;Den&amp;Výrobek,Tržba))</f>
        <v>144400</v>
      </c>
      <c r="L5">
        <f t="array" ref="L5">SUM(IF(IF($J$2="vše",$J$2,Zákazník)&amp;$J5&amp;L$2=$J$2&amp;Den&amp;Výrobek,Tržba))</f>
        <v>112000</v>
      </c>
      <c r="M5">
        <f t="array" ref="M5">SUM(IF(IF($J$2="vše",$J$2,Zákazník)&amp;$J5&amp;M$2=$J$2&amp;Den&amp;Výrobek,Tržba))</f>
        <v>48000</v>
      </c>
      <c r="N5">
        <f t="array" ref="N5">SUM(IF(IF($J$2="vše",$J$2,Zákazník)&amp;$J5&amp;N$2=$J$2&amp;Den&amp;Výrobek,Tržba))</f>
        <v>120000</v>
      </c>
      <c r="O5">
        <f t="array" ref="O5">SUM(IF(IF($J$2="vše",$J$2,Zákazník)&amp;$J5&amp;O$2=$J$2&amp;Den&amp;Výrobek,Tržba))</f>
        <v>72200</v>
      </c>
      <c r="P5">
        <f t="array" ref="P5">SUM(IF(IF($J$2="vše",$J$2,Zákazník)&amp;$J5&amp;P$2=$J$2&amp;Den&amp;Výrobek,Tržba))</f>
        <v>190000</v>
      </c>
      <c r="Q5">
        <f>SUM(K5:P5)</f>
        <v>686600</v>
      </c>
      <c r="T5" s="36"/>
    </row>
    <row r="6" spans="1:21" x14ac:dyDescent="0.2">
      <c r="A6" s="3">
        <v>35801</v>
      </c>
      <c r="B6" s="4">
        <v>1</v>
      </c>
      <c r="C6" s="4">
        <v>2</v>
      </c>
      <c r="D6" t="s">
        <v>13</v>
      </c>
      <c r="E6">
        <v>8</v>
      </c>
      <c r="F6">
        <v>19000</v>
      </c>
      <c r="G6">
        <v>152000</v>
      </c>
      <c r="H6" t="s">
        <v>11</v>
      </c>
      <c r="J6">
        <v>4</v>
      </c>
      <c r="K6">
        <f t="array" ref="K6">SUM(IF(IF($J$2="vše",$J$2,Zákazník)&amp;$J6&amp;K$2=$J$2&amp;Den&amp;Výrobek,Tržba))</f>
        <v>129200</v>
      </c>
      <c r="L6">
        <f t="array" ref="L6">SUM(IF(IF($J$2="vše",$J$2,Zákazník)&amp;$J6&amp;L$2=$J$2&amp;Den&amp;Výrobek,Tržba))</f>
        <v>88000</v>
      </c>
      <c r="M6">
        <f t="array" ref="M6">SUM(IF(IF($J$2="vše",$J$2,Zákazník)&amp;$J6&amp;M$2=$J$2&amp;Den&amp;Výrobek,Tržba))</f>
        <v>28800</v>
      </c>
      <c r="N6">
        <f t="array" ref="N6">SUM(IF(IF($J$2="vše",$J$2,Zákazník)&amp;$J6&amp;N$2=$J$2&amp;Den&amp;Výrobek,Tržba))</f>
        <v>60000</v>
      </c>
      <c r="O6">
        <f t="array" ref="O6">SUM(IF(IF($J$2="vše",$J$2,Zákazník)&amp;$J6&amp;O$2=$J$2&amp;Den&amp;Výrobek,Tržba))</f>
        <v>15200</v>
      </c>
      <c r="P6">
        <f t="array" ref="P6">SUM(IF(IF($J$2="vše",$J$2,Zákazník)&amp;$J6&amp;P$2=$J$2&amp;Den&amp;Výrobek,Tržba))</f>
        <v>266000</v>
      </c>
      <c r="Q6">
        <f>SUM(K6:P6)</f>
        <v>587200</v>
      </c>
      <c r="T6" s="36"/>
    </row>
    <row r="7" spans="1:21" x14ac:dyDescent="0.2">
      <c r="A7" s="3">
        <v>35802</v>
      </c>
      <c r="B7" s="4">
        <v>1</v>
      </c>
      <c r="C7" s="4">
        <v>3</v>
      </c>
      <c r="D7" t="s">
        <v>14</v>
      </c>
      <c r="E7">
        <v>8</v>
      </c>
      <c r="F7">
        <v>2400</v>
      </c>
      <c r="G7">
        <v>19200</v>
      </c>
      <c r="H7" t="s">
        <v>9</v>
      </c>
      <c r="J7">
        <v>5</v>
      </c>
      <c r="K7">
        <f t="array" ref="K7">SUM(IF(IF($J$2="vše",$J$2,Zákazník)&amp;$J7&amp;K$2=$J$2&amp;Den&amp;Výrobek,Tržba))</f>
        <v>326800</v>
      </c>
      <c r="L7">
        <f t="array" ref="L7">SUM(IF(IF($J$2="vše",$J$2,Zákazník)&amp;$J7&amp;L$2=$J$2&amp;Den&amp;Výrobek,Tržba))</f>
        <v>216000</v>
      </c>
      <c r="M7">
        <f t="array" ref="M7">SUM(IF(IF($J$2="vše",$J$2,Zákazník)&amp;$J7&amp;M$2=$J$2&amp;Den&amp;Výrobek,Tržba))</f>
        <v>105600</v>
      </c>
      <c r="N7">
        <f t="array" ref="N7">SUM(IF(IF($J$2="vše",$J$2,Zákazník)&amp;$J7&amp;N$2=$J$2&amp;Den&amp;Výrobek,Tržba))</f>
        <v>160000</v>
      </c>
      <c r="O7">
        <f t="array" ref="O7">SUM(IF(IF($J$2="vše",$J$2,Zákazník)&amp;$J7&amp;O$2=$J$2&amp;Den&amp;Výrobek,Tržba))</f>
        <v>91200</v>
      </c>
      <c r="P7">
        <f t="array" ref="P7">SUM(IF(IF($J$2="vše",$J$2,Zákazník)&amp;$J7&amp;P$2=$J$2&amp;Den&amp;Výrobek,Tržba))</f>
        <v>912000</v>
      </c>
      <c r="Q7">
        <f>SUM(K7:P7)</f>
        <v>1811600</v>
      </c>
      <c r="T7" s="36"/>
    </row>
    <row r="8" spans="1:21" x14ac:dyDescent="0.2">
      <c r="A8" s="3">
        <v>35803</v>
      </c>
      <c r="B8" s="4">
        <v>1</v>
      </c>
      <c r="C8" s="4">
        <v>4</v>
      </c>
      <c r="D8" t="s">
        <v>12</v>
      </c>
      <c r="E8">
        <v>6</v>
      </c>
      <c r="F8">
        <v>4000</v>
      </c>
      <c r="G8">
        <v>24000</v>
      </c>
      <c r="H8" t="s">
        <v>9</v>
      </c>
      <c r="J8" t="s">
        <v>61</v>
      </c>
      <c r="K8">
        <f>SUM(K3:K7)</f>
        <v>1193200</v>
      </c>
      <c r="L8">
        <f t="shared" ref="L8:Q8" si="0">SUM(L3:L7)</f>
        <v>808000</v>
      </c>
      <c r="M8">
        <f t="shared" si="0"/>
        <v>302400</v>
      </c>
      <c r="N8">
        <f t="shared" si="0"/>
        <v>660000</v>
      </c>
      <c r="O8">
        <f t="shared" si="0"/>
        <v>372400</v>
      </c>
      <c r="P8">
        <f t="shared" si="0"/>
        <v>2432000</v>
      </c>
      <c r="Q8">
        <f t="shared" si="0"/>
        <v>5768000</v>
      </c>
      <c r="T8" s="36"/>
    </row>
    <row r="9" spans="1:21" x14ac:dyDescent="0.2">
      <c r="A9" s="3">
        <v>35803</v>
      </c>
      <c r="B9" s="4">
        <v>1</v>
      </c>
      <c r="C9" s="4">
        <v>4</v>
      </c>
      <c r="D9" t="s">
        <v>12</v>
      </c>
      <c r="E9">
        <v>10</v>
      </c>
      <c r="F9">
        <v>4000</v>
      </c>
      <c r="G9">
        <v>40000</v>
      </c>
      <c r="H9" t="s">
        <v>9</v>
      </c>
      <c r="T9" s="36"/>
    </row>
    <row r="10" spans="1:21" x14ac:dyDescent="0.2">
      <c r="A10" s="3">
        <v>35803</v>
      </c>
      <c r="B10" s="4">
        <v>1</v>
      </c>
      <c r="C10" s="4">
        <v>4</v>
      </c>
      <c r="D10" t="s">
        <v>14</v>
      </c>
      <c r="E10">
        <v>6</v>
      </c>
      <c r="F10">
        <v>2400</v>
      </c>
      <c r="G10">
        <v>14400</v>
      </c>
      <c r="H10" t="s">
        <v>9</v>
      </c>
      <c r="J10" t="s">
        <v>83</v>
      </c>
      <c r="T10" s="36"/>
    </row>
    <row r="11" spans="1:21" x14ac:dyDescent="0.2">
      <c r="A11" s="3">
        <v>35804</v>
      </c>
      <c r="B11" s="4">
        <v>1</v>
      </c>
      <c r="C11" s="4">
        <v>5</v>
      </c>
      <c r="D11" t="s">
        <v>8</v>
      </c>
      <c r="E11">
        <v>8</v>
      </c>
      <c r="F11">
        <v>3800</v>
      </c>
      <c r="G11">
        <v>30400</v>
      </c>
      <c r="H11" t="s">
        <v>9</v>
      </c>
      <c r="J11" t="s">
        <v>76</v>
      </c>
      <c r="K11" t="s">
        <v>8</v>
      </c>
      <c r="L11" t="s">
        <v>12</v>
      </c>
      <c r="M11" t="s">
        <v>14</v>
      </c>
      <c r="N11" t="s">
        <v>10</v>
      </c>
      <c r="O11" t="s">
        <v>17</v>
      </c>
      <c r="P11" t="s">
        <v>13</v>
      </c>
      <c r="Q11" t="s">
        <v>62</v>
      </c>
    </row>
    <row r="12" spans="1:21" x14ac:dyDescent="0.2">
      <c r="A12" s="3">
        <v>35804</v>
      </c>
      <c r="B12" s="4">
        <v>1</v>
      </c>
      <c r="C12" s="4">
        <v>5</v>
      </c>
      <c r="D12" t="s">
        <v>8</v>
      </c>
      <c r="E12">
        <v>8</v>
      </c>
      <c r="F12">
        <v>3800</v>
      </c>
      <c r="G12">
        <v>30400</v>
      </c>
      <c r="H12" t="s">
        <v>9</v>
      </c>
      <c r="J12">
        <v>1</v>
      </c>
      <c r="K12">
        <f t="array" ref="K12">SUM(IF(IF($J$11="vše",$J$11,Zákazník)&amp;$J12&amp;K$11=$J$11&amp;Den&amp;Výrobek,1))</f>
        <v>16</v>
      </c>
      <c r="L12">
        <f t="array" ref="L12">SUM(IF(IF($J$11="vše",$J$11,Zákazník)&amp;$J12&amp;L$11=$J$11&amp;Den&amp;Výrobek,1))</f>
        <v>9</v>
      </c>
      <c r="M12">
        <f t="array" ref="M12">SUM(IF(IF($J$11="vše",$J$11,Zákazník)&amp;$J12&amp;M$11=$J$11&amp;Den&amp;Výrobek,1))</f>
        <v>7</v>
      </c>
      <c r="N12">
        <f t="array" ref="N12">SUM(IF(IF($J$11="vše",$J$11,Zákazník)&amp;$J12&amp;N$11=$J$11&amp;Den&amp;Výrobek,1))</f>
        <v>4</v>
      </c>
      <c r="O12">
        <f t="array" ref="O12">SUM(IF(IF($J$11="vše",$J$11,Zákazník)&amp;$J12&amp;O$11=$J$11&amp;Den&amp;Výrobek,1))</f>
        <v>9</v>
      </c>
      <c r="P12">
        <f t="array" ref="P12">SUM(IF(IF($J$11="vše",$J$11,Zákazník)&amp;$J12&amp;P$11=$J$11&amp;Den&amp;Výrobek,1))</f>
        <v>7</v>
      </c>
      <c r="Q12">
        <f>SUM(K12:P12)</f>
        <v>52</v>
      </c>
    </row>
    <row r="13" spans="1:21" x14ac:dyDescent="0.2">
      <c r="A13" s="3">
        <v>35804</v>
      </c>
      <c r="B13" s="4">
        <v>1</v>
      </c>
      <c r="C13" s="4">
        <v>5</v>
      </c>
      <c r="D13" t="s">
        <v>13</v>
      </c>
      <c r="E13">
        <v>8</v>
      </c>
      <c r="F13">
        <v>19000</v>
      </c>
      <c r="G13">
        <v>152000</v>
      </c>
      <c r="H13" t="s">
        <v>9</v>
      </c>
      <c r="J13">
        <v>2</v>
      </c>
      <c r="K13">
        <f t="array" ref="K13">SUM(IF(IF($J$11="vše",$J$11,Zákazník)&amp;$J13&amp;K$11=$J$11&amp;Den&amp;Výrobek,1))</f>
        <v>7</v>
      </c>
      <c r="L13">
        <f t="array" ref="L13">SUM(IF(IF($J$11="vše",$J$11,Zákazník)&amp;$J13&amp;L$11=$J$11&amp;Den&amp;Výrobek,1))</f>
        <v>8</v>
      </c>
      <c r="M13">
        <f t="array" ref="M13">SUM(IF(IF($J$11="vše",$J$11,Zákazník)&amp;$J13&amp;M$11=$J$11&amp;Den&amp;Výrobek,1))</f>
        <v>3</v>
      </c>
      <c r="N13">
        <f t="array" ref="N13">SUM(IF(IF($J$11="vše",$J$11,Zákazník)&amp;$J13&amp;N$11=$J$11&amp;Den&amp;Výrobek,1))</f>
        <v>1</v>
      </c>
      <c r="O13">
        <f t="array" ref="O13">SUM(IF(IF($J$11="vše",$J$11,Zákazník)&amp;$J13&amp;O$11=$J$11&amp;Den&amp;Výrobek,1))</f>
        <v>4</v>
      </c>
      <c r="P13">
        <f t="array" ref="P13">SUM(IF(IF($J$11="vše",$J$11,Zákazník)&amp;$J13&amp;P$11=$J$11&amp;Den&amp;Výrobek,1))</f>
        <v>1</v>
      </c>
      <c r="Q13">
        <f>SUM(K13:P13)</f>
        <v>24</v>
      </c>
    </row>
    <row r="14" spans="1:21" x14ac:dyDescent="0.2">
      <c r="A14" s="3">
        <v>35809</v>
      </c>
      <c r="B14" s="4">
        <v>1</v>
      </c>
      <c r="C14" s="4">
        <v>3</v>
      </c>
      <c r="D14" t="s">
        <v>8</v>
      </c>
      <c r="E14">
        <v>10</v>
      </c>
      <c r="F14">
        <v>3800</v>
      </c>
      <c r="G14">
        <v>38000</v>
      </c>
      <c r="H14" t="s">
        <v>9</v>
      </c>
      <c r="J14">
        <v>3</v>
      </c>
      <c r="K14">
        <f t="array" ref="K14">SUM(IF(IF($J$11="vše",$J$11,Zákazník)&amp;$J14&amp;K$11=$J$11&amp;Den&amp;Výrobek,1))</f>
        <v>5</v>
      </c>
      <c r="L14">
        <f t="array" ref="L14">SUM(IF(IF($J$11="vše",$J$11,Zákazník)&amp;$J14&amp;L$11=$J$11&amp;Den&amp;Výrobek,1))</f>
        <v>5</v>
      </c>
      <c r="M14">
        <f t="array" ref="M14">SUM(IF(IF($J$11="vše",$J$11,Zákazník)&amp;$J14&amp;M$11=$J$11&amp;Den&amp;Výrobek,1))</f>
        <v>4</v>
      </c>
      <c r="N14">
        <f t="array" ref="N14">SUM(IF(IF($J$11="vše",$J$11,Zákazník)&amp;$J14&amp;N$11=$J$11&amp;Den&amp;Výrobek,1))</f>
        <v>2</v>
      </c>
      <c r="O14">
        <f t="array" ref="O14">SUM(IF(IF($J$11="vše",$J$11,Zákazník)&amp;$J14&amp;O$11=$J$11&amp;Den&amp;Výrobek,1))</f>
        <v>6</v>
      </c>
      <c r="P14">
        <f t="array" ref="P14">SUM(IF(IF($J$11="vše",$J$11,Zákazník)&amp;$J14&amp;P$11=$J$11&amp;Den&amp;Výrobek,1))</f>
        <v>1</v>
      </c>
      <c r="Q14">
        <f>SUM(K14:P14)</f>
        <v>23</v>
      </c>
    </row>
    <row r="15" spans="1:21" x14ac:dyDescent="0.2">
      <c r="A15" s="3">
        <v>35811</v>
      </c>
      <c r="B15" s="4">
        <v>1</v>
      </c>
      <c r="C15" s="4">
        <v>5</v>
      </c>
      <c r="D15" t="s">
        <v>8</v>
      </c>
      <c r="E15">
        <v>10</v>
      </c>
      <c r="F15">
        <v>3800</v>
      </c>
      <c r="G15">
        <v>38000</v>
      </c>
      <c r="H15" t="s">
        <v>9</v>
      </c>
      <c r="J15">
        <v>4</v>
      </c>
      <c r="K15">
        <f t="array" ref="K15">SUM(IF(IF($J$11="vše",$J$11,Zákazník)&amp;$J15&amp;K$11=$J$11&amp;Den&amp;Výrobek,1))</f>
        <v>8</v>
      </c>
      <c r="L15">
        <f t="array" ref="L15">SUM(IF(IF($J$11="vše",$J$11,Zákazník)&amp;$J15&amp;L$11=$J$11&amp;Den&amp;Výrobek,1))</f>
        <v>3</v>
      </c>
      <c r="M15">
        <f t="array" ref="M15">SUM(IF(IF($J$11="vše",$J$11,Zákazník)&amp;$J15&amp;M$11=$J$11&amp;Den&amp;Výrobek,1))</f>
        <v>3</v>
      </c>
      <c r="N15">
        <f t="array" ref="N15">SUM(IF(IF($J$11="vše",$J$11,Zákazník)&amp;$J15&amp;N$11=$J$11&amp;Den&amp;Výrobek,1))</f>
        <v>2</v>
      </c>
      <c r="O15">
        <f t="array" ref="O15">SUM(IF(IF($J$11="vše",$J$11,Zákazník)&amp;$J15&amp;O$11=$J$11&amp;Den&amp;Výrobek,1))</f>
        <v>1</v>
      </c>
      <c r="P15">
        <f t="array" ref="P15">SUM(IF(IF($J$11="vše",$J$11,Zákazník)&amp;$J15&amp;P$11=$J$11&amp;Den&amp;Výrobek,1))</f>
        <v>2</v>
      </c>
      <c r="Q15">
        <f>SUM(K15:P15)</f>
        <v>19</v>
      </c>
    </row>
    <row r="16" spans="1:21" x14ac:dyDescent="0.2">
      <c r="A16" s="3">
        <v>35811</v>
      </c>
      <c r="B16" s="4">
        <v>1</v>
      </c>
      <c r="C16" s="4">
        <v>5</v>
      </c>
      <c r="D16" t="s">
        <v>12</v>
      </c>
      <c r="E16">
        <v>2</v>
      </c>
      <c r="F16">
        <v>4000</v>
      </c>
      <c r="G16">
        <v>8000</v>
      </c>
      <c r="H16" t="s">
        <v>9</v>
      </c>
      <c r="J16">
        <v>5</v>
      </c>
      <c r="K16">
        <f t="array" ref="K16">SUM(IF(IF($J$11="vše",$J$11,Zákazník)&amp;$J16&amp;K$11=$J$11&amp;Den&amp;Výrobek,1))</f>
        <v>11</v>
      </c>
      <c r="L16">
        <f t="array" ref="L16">SUM(IF(IF($J$11="vše",$J$11,Zákazník)&amp;$J16&amp;L$11=$J$11&amp;Den&amp;Výrobek,1))</f>
        <v>11</v>
      </c>
      <c r="M16">
        <f t="array" ref="M16">SUM(IF(IF($J$11="vše",$J$11,Zákazník)&amp;$J16&amp;M$11=$J$11&amp;Den&amp;Výrobek,1))</f>
        <v>7</v>
      </c>
      <c r="N16">
        <f t="array" ref="N16">SUM(IF(IF($J$11="vše",$J$11,Zákazník)&amp;$J16&amp;N$11=$J$11&amp;Den&amp;Výrobek,1))</f>
        <v>3</v>
      </c>
      <c r="O16">
        <f t="array" ref="O16">SUM(IF(IF($J$11="vše",$J$11,Zákazník)&amp;$J16&amp;O$11=$J$11&amp;Den&amp;Výrobek,1))</f>
        <v>7</v>
      </c>
      <c r="P16">
        <f t="array" ref="P16">SUM(IF(IF($J$11="vše",$J$11,Zákazník)&amp;$J16&amp;P$11=$J$11&amp;Den&amp;Výrobek,1))</f>
        <v>8</v>
      </c>
      <c r="Q16">
        <f>SUM(K16:P16)</f>
        <v>47</v>
      </c>
    </row>
    <row r="17" spans="1:17" x14ac:dyDescent="0.2">
      <c r="A17" s="3">
        <v>35811</v>
      </c>
      <c r="B17" s="4">
        <v>1</v>
      </c>
      <c r="C17" s="4">
        <v>5</v>
      </c>
      <c r="D17" t="s">
        <v>14</v>
      </c>
      <c r="E17">
        <v>10</v>
      </c>
      <c r="F17">
        <v>2400</v>
      </c>
      <c r="G17">
        <v>24000</v>
      </c>
      <c r="H17" t="s">
        <v>9</v>
      </c>
      <c r="J17" t="s">
        <v>61</v>
      </c>
      <c r="K17">
        <f t="shared" ref="K17:Q17" si="1">SUM(K12:K16)</f>
        <v>47</v>
      </c>
      <c r="L17">
        <f t="shared" si="1"/>
        <v>36</v>
      </c>
      <c r="M17">
        <f t="shared" si="1"/>
        <v>24</v>
      </c>
      <c r="N17">
        <f t="shared" si="1"/>
        <v>12</v>
      </c>
      <c r="O17">
        <f t="shared" si="1"/>
        <v>27</v>
      </c>
      <c r="P17">
        <f t="shared" si="1"/>
        <v>19</v>
      </c>
      <c r="Q17">
        <f t="shared" si="1"/>
        <v>165</v>
      </c>
    </row>
    <row r="18" spans="1:17" x14ac:dyDescent="0.2">
      <c r="A18" s="3">
        <v>35814</v>
      </c>
      <c r="B18" s="4">
        <v>1</v>
      </c>
      <c r="C18" s="4">
        <v>1</v>
      </c>
      <c r="D18" t="s">
        <v>8</v>
      </c>
      <c r="E18">
        <v>8</v>
      </c>
      <c r="F18">
        <v>3800</v>
      </c>
      <c r="G18">
        <v>30400</v>
      </c>
      <c r="H18" t="s">
        <v>9</v>
      </c>
    </row>
    <row r="19" spans="1:17" x14ac:dyDescent="0.2">
      <c r="A19" s="3">
        <v>35814</v>
      </c>
      <c r="B19" s="4">
        <v>1</v>
      </c>
      <c r="C19" s="4">
        <v>1</v>
      </c>
      <c r="D19" t="s">
        <v>8</v>
      </c>
      <c r="E19">
        <v>10</v>
      </c>
      <c r="F19">
        <v>3800</v>
      </c>
      <c r="G19">
        <v>38000</v>
      </c>
      <c r="H19" t="s">
        <v>15</v>
      </c>
      <c r="J19" t="s">
        <v>82</v>
      </c>
    </row>
    <row r="20" spans="1:17" x14ac:dyDescent="0.2">
      <c r="A20" s="3">
        <v>35814</v>
      </c>
      <c r="B20" s="4">
        <v>1</v>
      </c>
      <c r="C20" s="4">
        <v>1</v>
      </c>
      <c r="D20" t="s">
        <v>12</v>
      </c>
      <c r="E20">
        <v>4</v>
      </c>
      <c r="F20">
        <v>4000</v>
      </c>
      <c r="G20">
        <v>16000</v>
      </c>
      <c r="H20" t="s">
        <v>9</v>
      </c>
      <c r="J20" t="s">
        <v>15</v>
      </c>
      <c r="K20" t="s">
        <v>8</v>
      </c>
      <c r="L20" t="s">
        <v>12</v>
      </c>
      <c r="M20" t="s">
        <v>14</v>
      </c>
      <c r="N20" t="s">
        <v>10</v>
      </c>
      <c r="O20" t="s">
        <v>17</v>
      </c>
      <c r="P20" t="s">
        <v>13</v>
      </c>
      <c r="Q20" t="s">
        <v>62</v>
      </c>
    </row>
    <row r="21" spans="1:17" x14ac:dyDescent="0.2">
      <c r="A21" s="3">
        <v>35821</v>
      </c>
      <c r="B21" s="4">
        <v>1</v>
      </c>
      <c r="C21" s="4">
        <v>1</v>
      </c>
      <c r="D21" t="s">
        <v>14</v>
      </c>
      <c r="E21">
        <v>2</v>
      </c>
      <c r="F21">
        <v>2400</v>
      </c>
      <c r="G21">
        <v>4800</v>
      </c>
      <c r="H21" t="s">
        <v>9</v>
      </c>
      <c r="J21">
        <v>1</v>
      </c>
      <c r="K21">
        <f t="array" ref="K21">IF(SUM(IF(IF($J$20="vše",$J$20,Zákazník)&amp;$J21&amp;K$20=$J$20&amp;Den&amp;Výrobek,Tržba))&gt;0,AVERAGE(IF(IF($J$20="vše",$J$20,Zákazník)&amp;$J21&amp;K$20=$J$20&amp;Den&amp;Výrobek,Tržba)),"")</f>
        <v>34200</v>
      </c>
      <c r="L21" t="str">
        <f t="array" ref="L21">IF(SUM(IF(IF($J$20="vše",$J$20,Zákazník)&amp;$J21&amp;L$20=$J$20&amp;Den&amp;Výrobek,Tržba))&gt;0,AVERAGE(IF(IF($J$20="vše",$J$20,Zákazník)&amp;$J21&amp;L$20=$J$20&amp;Den&amp;Výrobek,Tržba)),"")</f>
        <v/>
      </c>
      <c r="M21">
        <f t="array" ref="M21">IF(SUM(IF(IF($J$20="vše",$J$20,Zákazník)&amp;$J21&amp;M$20=$J$20&amp;Den&amp;Výrobek,Tržba))&gt;0,AVERAGE(IF(IF($J$20="vše",$J$20,Zákazník)&amp;$J21&amp;M$20=$J$20&amp;Den&amp;Výrobek,Tržba)),"")</f>
        <v>9600</v>
      </c>
      <c r="N21" t="str">
        <f t="array" ref="N21">IF(SUM(IF(IF($J$20="vše",$J$20,Zákazník)&amp;$J21&amp;N$20=$J$20&amp;Den&amp;Výrobek,Tržba))&gt;0,AVERAGE(IF(IF($J$20="vše",$J$20,Zákazník)&amp;$J21&amp;N$20=$J$20&amp;Den&amp;Výrobek,Tržba)),"")</f>
        <v/>
      </c>
      <c r="O21" t="str">
        <f t="array" ref="O21">IF(SUM(IF(IF($J$20="vše",$J$20,Zákazník)&amp;$J21&amp;O$20=$J$20&amp;Den&amp;Výrobek,Tržba))&gt;0,AVERAGE(IF(IF($J$20="vše",$J$20,Zákazník)&amp;$J21&amp;O$20=$J$20&amp;Den&amp;Výrobek,Tržba)),"")</f>
        <v/>
      </c>
      <c r="P21">
        <f t="array" ref="P21">IF(SUM(IF(IF($J$20="vše",$J$20,Zákazník)&amp;$J21&amp;P$20=$J$20&amp;Den&amp;Výrobek,Tržba))&gt;0,AVERAGE(IF(IF($J$20="vše",$J$20,Zákazník)&amp;$J21&amp;P$20=$J$20&amp;Den&amp;Výrobek,Tržba)),"")</f>
        <v>152000</v>
      </c>
      <c r="Q21">
        <f t="array" ref="Q21">IF(SUM(IF(IF($J$20="vše",$J$20,Zákazník)&amp;$J21=$J$20&amp;Den,Tržba))&gt;0,AVERAGE(IF(IF($J$20="vše",$J$20,Zákazník)&amp;$J21=$J$20&amp;Den,Tržba)),"")</f>
        <v>57500</v>
      </c>
    </row>
    <row r="22" spans="1:17" x14ac:dyDescent="0.2">
      <c r="A22" s="3">
        <v>35821</v>
      </c>
      <c r="B22" s="4">
        <v>1</v>
      </c>
      <c r="C22" s="4">
        <v>1</v>
      </c>
      <c r="D22" t="s">
        <v>10</v>
      </c>
      <c r="E22">
        <v>10</v>
      </c>
      <c r="F22">
        <v>10000</v>
      </c>
      <c r="G22">
        <v>100000</v>
      </c>
      <c r="H22" t="s">
        <v>9</v>
      </c>
      <c r="J22">
        <v>2</v>
      </c>
      <c r="K22">
        <f t="array" ref="K22">IF(SUM(IF(IF($J$20="vše",$J$20,Zákazník)&amp;$J22&amp;K$20=$J$20&amp;Den&amp;Výrobek,Tržba))&gt;0,AVERAGE(IF(IF($J$20="vše",$J$20,Zákazník)&amp;$J22&amp;K$20=$J$20&amp;Den&amp;Výrobek,Tržba)),"")</f>
        <v>26600</v>
      </c>
      <c r="L22" t="str">
        <f t="array" ref="L22">IF(SUM(IF(IF($J$20="vše",$J$20,Zákazník)&amp;$J22&amp;L$20=$J$20&amp;Den&amp;Výrobek,Tržba))&gt;0,AVERAGE(IF(IF($J$20="vše",$J$20,Zákazník)&amp;$J22&amp;L$20=$J$20&amp;Den&amp;Výrobek,Tržba)),"")</f>
        <v/>
      </c>
      <c r="M22" t="str">
        <f t="array" ref="M22">IF(SUM(IF(IF($J$20="vše",$J$20,Zákazník)&amp;$J22&amp;M$20=$J$20&amp;Den&amp;Výrobek,Tržba))&gt;0,AVERAGE(IF(IF($J$20="vše",$J$20,Zákazník)&amp;$J22&amp;M$20=$J$20&amp;Den&amp;Výrobek,Tržba)),"")</f>
        <v/>
      </c>
      <c r="N22" t="str">
        <f t="array" ref="N22">IF(SUM(IF(IF($J$20="vše",$J$20,Zákazník)&amp;$J22&amp;N$20=$J$20&amp;Den&amp;Výrobek,Tržba))&gt;0,AVERAGE(IF(IF($J$20="vše",$J$20,Zákazník)&amp;$J22&amp;N$20=$J$20&amp;Den&amp;Výrobek,Tržba)),"")</f>
        <v/>
      </c>
      <c r="O22" t="str">
        <f t="array" ref="O22">IF(SUM(IF(IF($J$20="vše",$J$20,Zákazník)&amp;$J22&amp;O$20=$J$20&amp;Den&amp;Výrobek,Tržba))&gt;0,AVERAGE(IF(IF($J$20="vše",$J$20,Zákazník)&amp;$J22&amp;O$20=$J$20&amp;Den&amp;Výrobek,Tržba)),"")</f>
        <v/>
      </c>
      <c r="P22" t="str">
        <f t="array" ref="P22">IF(SUM(IF(IF($J$20="vše",$J$20,Zákazník)&amp;$J22&amp;P$20=$J$20&amp;Den&amp;Výrobek,Tržba))&gt;0,AVERAGE(IF(IF($J$20="vše",$J$20,Zákazník)&amp;$J22&amp;P$20=$J$20&amp;Den&amp;Výrobek,Tržba)),"")</f>
        <v/>
      </c>
      <c r="Q22">
        <f t="array" ref="Q22">IF(SUM(IF(IF($J$20="vše",$J$20,Zákazník)&amp;$J22=$J$20&amp;Den,Tržba))&gt;0,AVERAGE(IF(IF($J$20="vše",$J$20,Zákazník)&amp;$J22=$J$20&amp;Den,Tržba)),"")</f>
        <v>26600</v>
      </c>
    </row>
    <row r="23" spans="1:17" x14ac:dyDescent="0.2">
      <c r="A23" s="3">
        <v>35821</v>
      </c>
      <c r="B23" s="4">
        <v>1</v>
      </c>
      <c r="C23" s="4">
        <v>1</v>
      </c>
      <c r="D23" t="s">
        <v>13</v>
      </c>
      <c r="E23">
        <v>8</v>
      </c>
      <c r="F23">
        <v>19000</v>
      </c>
      <c r="G23">
        <v>152000</v>
      </c>
      <c r="H23" t="s">
        <v>9</v>
      </c>
      <c r="J23">
        <v>3</v>
      </c>
      <c r="K23">
        <f t="array" ref="K23">IF(SUM(IF(IF($J$20="vše",$J$20,Zákazník)&amp;$J23&amp;K$20=$J$20&amp;Den&amp;Výrobek,Tržba))&gt;0,AVERAGE(IF(IF($J$20="vše",$J$20,Zákazník)&amp;$J23&amp;K$20=$J$20&amp;Den&amp;Výrobek,Tržba)),"")</f>
        <v>15200</v>
      </c>
      <c r="L23">
        <f t="array" ref="L23">IF(SUM(IF(IF($J$20="vše",$J$20,Zákazník)&amp;$J23&amp;L$20=$J$20&amp;Den&amp;Výrobek,Tržba))&gt;0,AVERAGE(IF(IF($J$20="vše",$J$20,Zákazník)&amp;$J23&amp;L$20=$J$20&amp;Den&amp;Výrobek,Tržba)),"")</f>
        <v>32000</v>
      </c>
      <c r="M23" t="str">
        <f t="array" ref="M23">IF(SUM(IF(IF($J$20="vše",$J$20,Zákazník)&amp;$J23&amp;M$20=$J$20&amp;Den&amp;Výrobek,Tržba))&gt;0,AVERAGE(IF(IF($J$20="vše",$J$20,Zákazník)&amp;$J23&amp;M$20=$J$20&amp;Den&amp;Výrobek,Tržba)),"")</f>
        <v/>
      </c>
      <c r="N23" t="str">
        <f t="array" ref="N23">IF(SUM(IF(IF($J$20="vše",$J$20,Zákazník)&amp;$J23&amp;N$20=$J$20&amp;Den&amp;Výrobek,Tržba))&gt;0,AVERAGE(IF(IF($J$20="vše",$J$20,Zákazník)&amp;$J23&amp;N$20=$J$20&amp;Den&amp;Výrobek,Tržba)),"")</f>
        <v/>
      </c>
      <c r="O23" t="str">
        <f t="array" ref="O23">IF(SUM(IF(IF($J$20="vše",$J$20,Zákazník)&amp;$J23&amp;O$20=$J$20&amp;Den&amp;Výrobek,Tržba))&gt;0,AVERAGE(IF(IF($J$20="vše",$J$20,Zákazník)&amp;$J23&amp;O$20=$J$20&amp;Den&amp;Výrobek,Tržba)),"")</f>
        <v/>
      </c>
      <c r="P23">
        <f t="array" ref="P23">IF(SUM(IF(IF($J$20="vše",$J$20,Zákazník)&amp;$J23&amp;P$20=$J$20&amp;Den&amp;Výrobek,Tržba))&gt;0,AVERAGE(IF(IF($J$20="vše",$J$20,Zákazník)&amp;$J23&amp;P$20=$J$20&amp;Den&amp;Výrobek,Tržba)),"")</f>
        <v>190000</v>
      </c>
      <c r="Q23">
        <f t="array" ref="Q23">IF(SUM(IF(IF($J$20="vše",$J$20,Zákazník)&amp;$J23=$J$20&amp;Den,Tržba))&gt;0,AVERAGE(IF(IF($J$20="vše",$J$20,Zákazník)&amp;$J23=$J$20&amp;Den,Tržba)),"")</f>
        <v>79066.666666666672</v>
      </c>
    </row>
    <row r="24" spans="1:17" x14ac:dyDescent="0.2">
      <c r="A24" s="3">
        <v>35824</v>
      </c>
      <c r="B24" s="4">
        <v>1</v>
      </c>
      <c r="C24" s="4">
        <v>4</v>
      </c>
      <c r="D24" t="s">
        <v>14</v>
      </c>
      <c r="E24">
        <v>4</v>
      </c>
      <c r="F24">
        <v>2400</v>
      </c>
      <c r="G24">
        <v>9600</v>
      </c>
      <c r="H24" t="s">
        <v>9</v>
      </c>
      <c r="J24">
        <v>4</v>
      </c>
      <c r="K24">
        <f t="array" ref="K24">IF(SUM(IF(IF($J$20="vše",$J$20,Zákazník)&amp;$J24&amp;K$20=$J$20&amp;Den&amp;Výrobek,Tržba))&gt;0,AVERAGE(IF(IF($J$20="vše",$J$20,Zákazník)&amp;$J24&amp;K$20=$J$20&amp;Den&amp;Výrobek,Tržba)),"")</f>
        <v>19000</v>
      </c>
      <c r="L24" t="str">
        <f t="array" ref="L24">IF(SUM(IF(IF($J$20="vše",$J$20,Zákazník)&amp;$J24&amp;L$20=$J$20&amp;Den&amp;Výrobek,Tržba))&gt;0,AVERAGE(IF(IF($J$20="vše",$J$20,Zákazník)&amp;$J24&amp;L$20=$J$20&amp;Den&amp;Výrobek,Tržba)),"")</f>
        <v/>
      </c>
      <c r="M24" t="str">
        <f t="array" ref="M24">IF(SUM(IF(IF($J$20="vše",$J$20,Zákazník)&amp;$J24&amp;M$20=$J$20&amp;Den&amp;Výrobek,Tržba))&gt;0,AVERAGE(IF(IF($J$20="vše",$J$20,Zákazník)&amp;$J24&amp;M$20=$J$20&amp;Den&amp;Výrobek,Tržba)),"")</f>
        <v/>
      </c>
      <c r="N24" t="str">
        <f t="array" ref="N24">IF(SUM(IF(IF($J$20="vše",$J$20,Zákazník)&amp;$J24&amp;N$20=$J$20&amp;Den&amp;Výrobek,Tržba))&gt;0,AVERAGE(IF(IF($J$20="vše",$J$20,Zákazník)&amp;$J24&amp;N$20=$J$20&amp;Den&amp;Výrobek,Tržba)),"")</f>
        <v/>
      </c>
      <c r="O24" t="str">
        <f t="array" ref="O24">IF(SUM(IF(IF($J$20="vše",$J$20,Zákazník)&amp;$J24&amp;O$20=$J$20&amp;Den&amp;Výrobek,Tržba))&gt;0,AVERAGE(IF(IF($J$20="vše",$J$20,Zákazník)&amp;$J24&amp;O$20=$J$20&amp;Den&amp;Výrobek,Tržba)),"")</f>
        <v/>
      </c>
      <c r="P24" t="str">
        <f t="array" ref="P24">IF(SUM(IF(IF($J$20="vše",$J$20,Zákazník)&amp;$J24&amp;P$20=$J$20&amp;Den&amp;Výrobek,Tržba))&gt;0,AVERAGE(IF(IF($J$20="vše",$J$20,Zákazník)&amp;$J24&amp;P$20=$J$20&amp;Den&amp;Výrobek,Tržba)),"")</f>
        <v/>
      </c>
      <c r="Q24">
        <f t="array" ref="Q24">IF(SUM(IF(IF($J$20="vše",$J$20,Zákazník)&amp;$J24=$J$20&amp;Den,Tržba))&gt;0,AVERAGE(IF(IF($J$20="vše",$J$20,Zákazník)&amp;$J24=$J$20&amp;Den,Tržba)),"")</f>
        <v>19000</v>
      </c>
    </row>
    <row r="25" spans="1:17" x14ac:dyDescent="0.2">
      <c r="A25" s="3">
        <v>35828</v>
      </c>
      <c r="B25" s="4">
        <v>2</v>
      </c>
      <c r="C25" s="4">
        <v>1</v>
      </c>
      <c r="D25" t="s">
        <v>12</v>
      </c>
      <c r="E25">
        <v>10</v>
      </c>
      <c r="F25">
        <v>4000</v>
      </c>
      <c r="G25">
        <v>40000</v>
      </c>
      <c r="H25" t="s">
        <v>16</v>
      </c>
      <c r="J25">
        <v>5</v>
      </c>
      <c r="K25" t="str">
        <f t="array" ref="K25">IF(SUM(IF(IF($J$20="vše",$J$20,Zákazník)&amp;$J25&amp;K$20=$J$20&amp;Den&amp;Výrobek,Tržba))&gt;0,AVERAGE(IF(IF($J$20="vše",$J$20,Zákazník)&amp;$J25&amp;K$20=$J$20&amp;Den&amp;Výrobek,Tržba)),"")</f>
        <v/>
      </c>
      <c r="L25" t="str">
        <f t="array" ref="L25">IF(SUM(IF(IF($J$20="vše",$J$20,Zákazník)&amp;$J25&amp;L$20=$J$20&amp;Den&amp;Výrobek,Tržba))&gt;0,AVERAGE(IF(IF($J$20="vše",$J$20,Zákazník)&amp;$J25&amp;L$20=$J$20&amp;Den&amp;Výrobek,Tržba)),"")</f>
        <v/>
      </c>
      <c r="M25" t="str">
        <f t="array" ref="M25">IF(SUM(IF(IF($J$20="vše",$J$20,Zákazník)&amp;$J25&amp;M$20=$J$20&amp;Den&amp;Výrobek,Tržba))&gt;0,AVERAGE(IF(IF($J$20="vše",$J$20,Zákazník)&amp;$J25&amp;M$20=$J$20&amp;Den&amp;Výrobek,Tržba)),"")</f>
        <v/>
      </c>
      <c r="N25" t="str">
        <f t="array" ref="N25">IF(SUM(IF(IF($J$20="vše",$J$20,Zákazník)&amp;$J25&amp;N$20=$J$20&amp;Den&amp;Výrobek,Tržba))&gt;0,AVERAGE(IF(IF($J$20="vše",$J$20,Zákazník)&amp;$J25&amp;N$20=$J$20&amp;Den&amp;Výrobek,Tržba)),"")</f>
        <v/>
      </c>
      <c r="O25" t="str">
        <f t="array" ref="O25">IF(SUM(IF(IF($J$20="vše",$J$20,Zákazník)&amp;$J25&amp;O$20=$J$20&amp;Den&amp;Výrobek,Tržba))&gt;0,AVERAGE(IF(IF($J$20="vše",$J$20,Zákazník)&amp;$J25&amp;O$20=$J$20&amp;Den&amp;Výrobek,Tržba)),"")</f>
        <v/>
      </c>
      <c r="P25" t="str">
        <f t="array" ref="P25">IF(SUM(IF(IF($J$20="vše",$J$20,Zákazník)&amp;$J25&amp;P$20=$J$20&amp;Den&amp;Výrobek,Tržba))&gt;0,AVERAGE(IF(IF($J$20="vše",$J$20,Zákazník)&amp;$J25&amp;P$20=$J$20&amp;Den&amp;Výrobek,Tržba)),"")</f>
        <v/>
      </c>
      <c r="Q25" t="str">
        <f t="array" ref="Q25">IF(SUM(IF(IF($J$20="vše",$J$20,Zákazník)&amp;$J25=$J$20&amp;Den,Tržba))&gt;0,AVERAGE(IF(IF($J$20="vše",$J$20,Zákazník)&amp;$J25=$J$20&amp;Den,Tržba)),"")</f>
        <v/>
      </c>
    </row>
    <row r="26" spans="1:17" x14ac:dyDescent="0.2">
      <c r="A26" s="3">
        <v>35828</v>
      </c>
      <c r="B26" s="4">
        <v>2</v>
      </c>
      <c r="C26" s="4">
        <v>1</v>
      </c>
      <c r="D26" t="s">
        <v>10</v>
      </c>
      <c r="E26">
        <v>6</v>
      </c>
      <c r="F26">
        <v>10000</v>
      </c>
      <c r="G26">
        <v>60000</v>
      </c>
      <c r="H26" t="s">
        <v>9</v>
      </c>
      <c r="J26" t="s">
        <v>61</v>
      </c>
      <c r="K26">
        <f t="array" ref="K26">IF(SUM(IF(IF($J$20="vše",$J$20,Zákazník)&amp;K$20=$J$20&amp;Výrobek,Tržba))&gt;0,AVERAGE(IF(IF($J$20="vše",$J$20,Zákazník)&amp;K$20=$J$20&amp;Výrobek,Tržba)),"")</f>
        <v>24971.428571428572</v>
      </c>
      <c r="L26">
        <f t="array" ref="L26">IF(SUM(IF(IF($J$20="vše",$J$20,Zákazník)&amp;L$20=$J$20&amp;Výrobek,Tržba))&gt;0,AVERAGE(IF(IF($J$20="vše",$J$20,Zákazník)&amp;L$20=$J$20&amp;Výrobek,Tržba)),"")</f>
        <v>32000</v>
      </c>
      <c r="M26">
        <f t="array" ref="M26">IF(SUM(IF(IF($J$20="vše",$J$20,Zákazník)&amp;M$20=$J$20&amp;Výrobek,Tržba))&gt;0,AVERAGE(IF(IF($J$20="vše",$J$20,Zákazník)&amp;M$20=$J$20&amp;Výrobek,Tržba)),"")</f>
        <v>9600</v>
      </c>
      <c r="N26" t="str">
        <f t="array" ref="N26">IF(SUM(IF(IF($J$20="vše",$J$20,Zákazník)&amp;N$20=$J$20&amp;Výrobek,Tržba))&gt;0,AVERAGE(IF(IF($J$20="vše",$J$20,Zákazník)&amp;N$20=$J$20&amp;Výrobek,Tržba)),"")</f>
        <v/>
      </c>
      <c r="O26" t="str">
        <f t="array" ref="O26">IF(SUM(IF(IF($J$20="vše",$J$20,Zákazník)&amp;O$20=$J$20&amp;Výrobek,Tržba))&gt;0,AVERAGE(IF(IF($J$20="vše",$J$20,Zákazník)&amp;O$20=$J$20&amp;Výrobek,Tržba)),"")</f>
        <v/>
      </c>
      <c r="P26">
        <f t="array" ref="P26">IF(SUM(IF(IF($J$20="vše",$J$20,Zákazník)&amp;P$20=$J$20&amp;Výrobek,Tržba))&gt;0,AVERAGE(IF(IF($J$20="vše",$J$20,Zákazník)&amp;P$20=$J$20&amp;Výrobek,Tržba)),"")</f>
        <v>171000</v>
      </c>
      <c r="Q26">
        <f t="array" ref="Q26">IF(SUM(IF(IF($J$20="vše",$J$20,Zákazník)=$J$20,Tržba))&gt;0,AVERAGE(IF(IF($J$20="vše",$J$20,Zákazník)=$J$20,Tržba)),"")</f>
        <v>50763.63636363636</v>
      </c>
    </row>
    <row r="27" spans="1:17" x14ac:dyDescent="0.2">
      <c r="A27" s="3">
        <v>35829</v>
      </c>
      <c r="B27" s="4">
        <v>2</v>
      </c>
      <c r="C27" s="4">
        <v>2</v>
      </c>
      <c r="D27" t="s">
        <v>12</v>
      </c>
      <c r="E27">
        <v>4</v>
      </c>
      <c r="F27">
        <v>4000</v>
      </c>
      <c r="G27">
        <v>16000</v>
      </c>
      <c r="H27" t="s">
        <v>9</v>
      </c>
    </row>
    <row r="28" spans="1:17" x14ac:dyDescent="0.2">
      <c r="A28" s="3">
        <v>35829</v>
      </c>
      <c r="B28" s="4">
        <v>2</v>
      </c>
      <c r="C28" s="4">
        <v>2</v>
      </c>
      <c r="D28" t="s">
        <v>14</v>
      </c>
      <c r="E28">
        <v>8</v>
      </c>
      <c r="F28">
        <v>2400</v>
      </c>
      <c r="G28">
        <v>19200</v>
      </c>
      <c r="H28" t="s">
        <v>9</v>
      </c>
      <c r="J28" t="s">
        <v>63</v>
      </c>
    </row>
    <row r="29" spans="1:17" x14ac:dyDescent="0.2">
      <c r="A29" s="3">
        <v>35830</v>
      </c>
      <c r="B29" s="4">
        <v>2</v>
      </c>
      <c r="C29" s="4">
        <v>3</v>
      </c>
      <c r="D29" t="s">
        <v>17</v>
      </c>
      <c r="E29">
        <v>8</v>
      </c>
      <c r="F29">
        <v>1900</v>
      </c>
      <c r="G29">
        <v>15200</v>
      </c>
      <c r="H29" t="s">
        <v>9</v>
      </c>
      <c r="J29" t="s">
        <v>60</v>
      </c>
      <c r="K29" t="s">
        <v>59</v>
      </c>
      <c r="L29" t="s">
        <v>66</v>
      </c>
      <c r="M29" t="s">
        <v>77</v>
      </c>
    </row>
    <row r="30" spans="1:17" x14ac:dyDescent="0.2">
      <c r="A30" s="3">
        <v>35832</v>
      </c>
      <c r="B30" s="4">
        <v>2</v>
      </c>
      <c r="C30" s="4">
        <v>5</v>
      </c>
      <c r="D30" t="s">
        <v>14</v>
      </c>
      <c r="E30">
        <v>6</v>
      </c>
      <c r="F30">
        <v>2400</v>
      </c>
      <c r="G30">
        <v>14400</v>
      </c>
      <c r="H30" t="s">
        <v>9</v>
      </c>
      <c r="J30">
        <v>0</v>
      </c>
      <c r="K30">
        <f t="array" ref="K30">SUM(IF(Počet&gt;=J30,1))-SUM(IF(Počet&gt;=J31,1))</f>
        <v>0</v>
      </c>
      <c r="L30">
        <f t="array" ref="L30">SUM(IF(Počet&gt;=J30,Tržba))-SUM(IF(Počet&gt;=J31,Tržba))</f>
        <v>0</v>
      </c>
      <c r="M30">
        <f t="array" ref="M30">SUM(IF((Počet&gt;=J30)&amp;(Počet&lt;J31)=TRUE&amp;TRUE,Tržba))</f>
        <v>0</v>
      </c>
    </row>
    <row r="31" spans="1:17" x14ac:dyDescent="0.2">
      <c r="A31" s="3">
        <v>35832</v>
      </c>
      <c r="B31" s="4">
        <v>2</v>
      </c>
      <c r="C31" s="4">
        <v>5</v>
      </c>
      <c r="D31" t="s">
        <v>10</v>
      </c>
      <c r="E31">
        <v>4</v>
      </c>
      <c r="F31">
        <v>10000</v>
      </c>
      <c r="G31">
        <v>40000</v>
      </c>
      <c r="H31" t="s">
        <v>9</v>
      </c>
      <c r="J31">
        <v>1</v>
      </c>
      <c r="K31">
        <f t="array" ref="K31">SUM(IF(Počet&gt;=J31,1))-SUM(IF(Počet&gt;=J32,1))</f>
        <v>0</v>
      </c>
      <c r="L31">
        <f t="array" ref="L31">SUM(IF(Počet&gt;=J31,Tržba))-SUM(IF(Počet&gt;=J32,Tržba))</f>
        <v>0</v>
      </c>
      <c r="M31">
        <f t="array" ref="M31">SUM(IF((Počet&gt;=J31)&amp;(Počet&lt;J32)=TRUE&amp;TRUE,Tržba))</f>
        <v>0</v>
      </c>
    </row>
    <row r="32" spans="1:17" x14ac:dyDescent="0.2">
      <c r="A32" s="3">
        <v>35832</v>
      </c>
      <c r="B32" s="4">
        <v>2</v>
      </c>
      <c r="C32" s="4">
        <v>5</v>
      </c>
      <c r="D32" t="s">
        <v>13</v>
      </c>
      <c r="E32">
        <v>6</v>
      </c>
      <c r="F32">
        <v>19000</v>
      </c>
      <c r="G32">
        <v>114000</v>
      </c>
      <c r="H32" t="s">
        <v>9</v>
      </c>
      <c r="J32">
        <v>2</v>
      </c>
      <c r="K32">
        <f t="array" ref="K32">SUM(IF(Počet&gt;=J32,1))-SUM(IF(Počet&gt;=J33,1))</f>
        <v>25</v>
      </c>
      <c r="L32">
        <f t="array" ref="L32">SUM(IF(Počet&gt;=J32,Tržba))-SUM(IF(Počet&gt;=J33,Tržba))</f>
        <v>256800</v>
      </c>
      <c r="M32">
        <f t="array" ref="M32">SUM(IF((Počet&gt;=J32)&amp;(Počet&lt;J33)=TRUE&amp;TRUE,Tržba))</f>
        <v>256800</v>
      </c>
    </row>
    <row r="33" spans="1:15" x14ac:dyDescent="0.2">
      <c r="A33" s="3">
        <v>35835</v>
      </c>
      <c r="B33" s="4">
        <v>2</v>
      </c>
      <c r="C33" s="4">
        <v>1</v>
      </c>
      <c r="D33" t="s">
        <v>12</v>
      </c>
      <c r="E33">
        <v>8</v>
      </c>
      <c r="F33">
        <v>4000</v>
      </c>
      <c r="G33">
        <v>32000</v>
      </c>
      <c r="H33" t="s">
        <v>9</v>
      </c>
      <c r="J33">
        <v>3</v>
      </c>
      <c r="K33">
        <f t="array" ref="K33">SUM(IF(Počet&gt;=J33,1))-SUM(IF(Počet&gt;=J34,1))</f>
        <v>0</v>
      </c>
      <c r="L33">
        <f t="array" ref="L33">SUM(IF(Počet&gt;=J33,Tržba))-SUM(IF(Počet&gt;=J34,Tržba))</f>
        <v>0</v>
      </c>
      <c r="M33">
        <f t="array" ref="M33">SUM(IF((Počet&gt;=J33)&amp;(Počet&lt;J34)=TRUE&amp;TRUE,Tržba))</f>
        <v>0</v>
      </c>
    </row>
    <row r="34" spans="1:15" x14ac:dyDescent="0.2">
      <c r="A34" s="3">
        <v>35838</v>
      </c>
      <c r="B34" s="4">
        <v>2</v>
      </c>
      <c r="C34" s="4">
        <v>4</v>
      </c>
      <c r="D34" t="s">
        <v>8</v>
      </c>
      <c r="E34">
        <v>2</v>
      </c>
      <c r="F34">
        <v>3800</v>
      </c>
      <c r="G34">
        <v>7600</v>
      </c>
      <c r="H34" t="s">
        <v>9</v>
      </c>
      <c r="J34">
        <v>4</v>
      </c>
      <c r="K34">
        <f t="array" ref="K34">SUM(IF(Počet&gt;=J34,1))-SUM(IF(Počet&gt;=J35,1))</f>
        <v>39</v>
      </c>
      <c r="L34">
        <f t="array" ref="L34">SUM(IF(Počet&gt;=J34,Tržba))-SUM(IF(Počet&gt;=J35,Tržba))</f>
        <v>824400</v>
      </c>
      <c r="M34">
        <f t="array" ref="M34">SUM(IF((Počet&gt;=J34)&amp;(Počet&lt;J35)=TRUE&amp;TRUE,Tržba))</f>
        <v>824400</v>
      </c>
    </row>
    <row r="35" spans="1:15" x14ac:dyDescent="0.2">
      <c r="A35" s="3">
        <v>35839</v>
      </c>
      <c r="B35" s="4">
        <v>2</v>
      </c>
      <c r="C35" s="4">
        <v>5</v>
      </c>
      <c r="D35" t="s">
        <v>8</v>
      </c>
      <c r="E35">
        <v>10</v>
      </c>
      <c r="F35">
        <v>3800</v>
      </c>
      <c r="G35">
        <v>38000</v>
      </c>
      <c r="H35" t="s">
        <v>9</v>
      </c>
      <c r="J35">
        <v>5</v>
      </c>
      <c r="K35">
        <f t="array" ref="K35">SUM(IF(Počet&gt;=J35,1))-SUM(IF(Počet&gt;=J36,1))</f>
        <v>0</v>
      </c>
      <c r="L35">
        <f t="array" ref="L35">SUM(IF(Počet&gt;=J35,Tržba))-SUM(IF(Počet&gt;=J36,Tržba))</f>
        <v>0</v>
      </c>
      <c r="M35">
        <f t="array" ref="M35">SUM(IF((Počet&gt;=J35)&amp;(Počet&lt;J36)=TRUE&amp;TRUE,Tržba))</f>
        <v>0</v>
      </c>
    </row>
    <row r="36" spans="1:15" x14ac:dyDescent="0.2">
      <c r="A36" s="3">
        <v>35839</v>
      </c>
      <c r="B36" s="4">
        <v>2</v>
      </c>
      <c r="C36" s="4">
        <v>5</v>
      </c>
      <c r="D36" t="s">
        <v>13</v>
      </c>
      <c r="E36">
        <v>2</v>
      </c>
      <c r="F36">
        <v>19000</v>
      </c>
      <c r="G36">
        <v>38000</v>
      </c>
      <c r="H36" t="s">
        <v>9</v>
      </c>
      <c r="J36">
        <v>6</v>
      </c>
      <c r="K36">
        <f t="array" ref="K36">SUM(IF(Počet&gt;=J36,1))-SUM(IF(Počet&gt;=J37,1))</f>
        <v>27</v>
      </c>
      <c r="L36">
        <f t="array" ref="L36">SUM(IF(Počet&gt;=J36,Tržba))-SUM(IF(Počet&gt;=J37,Tržba))</f>
        <v>869400</v>
      </c>
      <c r="M36">
        <f t="array" ref="M36">SUM(IF((Počet&gt;=J36)&amp;(Počet&lt;J37)=TRUE&amp;TRUE,Tržba))</f>
        <v>869400</v>
      </c>
    </row>
    <row r="37" spans="1:15" x14ac:dyDescent="0.2">
      <c r="A37" s="3">
        <v>35842</v>
      </c>
      <c r="B37" s="4">
        <v>2</v>
      </c>
      <c r="C37" s="4">
        <v>1</v>
      </c>
      <c r="D37" t="s">
        <v>8</v>
      </c>
      <c r="E37">
        <v>8</v>
      </c>
      <c r="F37">
        <v>3800</v>
      </c>
      <c r="G37">
        <v>30400</v>
      </c>
      <c r="H37" t="s">
        <v>9</v>
      </c>
      <c r="J37">
        <v>7</v>
      </c>
      <c r="K37">
        <f t="array" ref="K37">SUM(IF(Počet&gt;=J37,1))-SUM(IF(Počet&gt;=J38,1))</f>
        <v>0</v>
      </c>
      <c r="L37">
        <f t="array" ref="L37">SUM(IF(Počet&gt;=J37,Tržba))-SUM(IF(Počet&gt;=J38,Tržba))</f>
        <v>0</v>
      </c>
      <c r="M37">
        <f t="array" ref="M37">SUM(IF((Počet&gt;=J37)&amp;(Počet&lt;J38)=TRUE&amp;TRUE,Tržba))</f>
        <v>0</v>
      </c>
    </row>
    <row r="38" spans="1:15" x14ac:dyDescent="0.2">
      <c r="A38" s="3">
        <v>35842</v>
      </c>
      <c r="B38" s="4">
        <v>2</v>
      </c>
      <c r="C38" s="4">
        <v>1</v>
      </c>
      <c r="D38" t="s">
        <v>14</v>
      </c>
      <c r="E38">
        <v>8</v>
      </c>
      <c r="F38">
        <v>2400</v>
      </c>
      <c r="G38">
        <v>19200</v>
      </c>
      <c r="H38" t="s">
        <v>9</v>
      </c>
      <c r="J38">
        <v>8</v>
      </c>
      <c r="K38">
        <f t="array" ref="K38">SUM(IF(Počet&gt;=J38,1))-SUM(IF(Počet&gt;=J39,1))</f>
        <v>38</v>
      </c>
      <c r="L38">
        <f t="array" ref="L38">SUM(IF(Počet&gt;=J38,Tržba))-SUM(IF(Počet&gt;=J39,Tržba))</f>
        <v>2054400</v>
      </c>
      <c r="M38">
        <f t="array" ref="M38">SUM(IF((Počet&gt;=J38)&amp;(Počet&lt;J39)=TRUE&amp;TRUE,Tržba))</f>
        <v>2054400</v>
      </c>
    </row>
    <row r="39" spans="1:15" x14ac:dyDescent="0.2">
      <c r="A39" s="3">
        <v>35842</v>
      </c>
      <c r="B39" s="4">
        <v>2</v>
      </c>
      <c r="C39" s="4">
        <v>1</v>
      </c>
      <c r="D39" t="s">
        <v>10</v>
      </c>
      <c r="E39">
        <v>10</v>
      </c>
      <c r="F39">
        <v>10000</v>
      </c>
      <c r="G39">
        <v>100000</v>
      </c>
      <c r="H39" t="s">
        <v>9</v>
      </c>
      <c r="J39">
        <v>9</v>
      </c>
      <c r="K39">
        <f t="array" ref="K39">SUM(IF(Počet&gt;=J39,1))-SUM(IF(Počet&gt;=J40,1))</f>
        <v>0</v>
      </c>
      <c r="L39">
        <f t="array" ref="L39">SUM(IF(Počet&gt;=J39,Tržba))-SUM(IF(Počet&gt;=J40,Tržba))</f>
        <v>0</v>
      </c>
      <c r="M39">
        <f t="array" ref="M39">SUM(IF((Počet&gt;=J39)&amp;(Počet&lt;J40)=TRUE&amp;TRUE,Tržba))</f>
        <v>0</v>
      </c>
    </row>
    <row r="40" spans="1:15" x14ac:dyDescent="0.2">
      <c r="A40" s="3">
        <v>35844</v>
      </c>
      <c r="B40" s="4">
        <v>2</v>
      </c>
      <c r="C40" s="4">
        <v>3</v>
      </c>
      <c r="D40" t="s">
        <v>12</v>
      </c>
      <c r="E40">
        <v>4</v>
      </c>
      <c r="F40">
        <v>4000</v>
      </c>
      <c r="G40">
        <v>16000</v>
      </c>
      <c r="H40" t="s">
        <v>9</v>
      </c>
      <c r="J40">
        <v>10</v>
      </c>
      <c r="K40">
        <f t="array" ref="K40">SUM(IF(Počet&gt;=J40,1))-SUM(IF(Počet&gt;=J41,1))</f>
        <v>36</v>
      </c>
      <c r="L40">
        <f t="array" ref="L40">SUM(IF(Počet&gt;=J40,Tržba))-SUM(IF(Počet&gt;=J41,Tržba))</f>
        <v>1763000</v>
      </c>
      <c r="M40">
        <f t="array" ref="M40">SUM(IF((Počet&gt;=J40)&amp;(Počet&lt;J41)=TRUE&amp;TRUE,Tržba))</f>
        <v>1763000</v>
      </c>
    </row>
    <row r="41" spans="1:15" x14ac:dyDescent="0.2">
      <c r="A41" s="3">
        <v>35844</v>
      </c>
      <c r="B41" s="4">
        <v>2</v>
      </c>
      <c r="C41" s="4">
        <v>3</v>
      </c>
      <c r="D41" t="s">
        <v>14</v>
      </c>
      <c r="E41">
        <v>4</v>
      </c>
      <c r="F41">
        <v>2400</v>
      </c>
      <c r="G41">
        <v>9600</v>
      </c>
      <c r="H41" t="s">
        <v>9</v>
      </c>
      <c r="J41">
        <v>11</v>
      </c>
      <c r="K41">
        <f t="array" ref="K41">SUM(IF(Počet&gt;=J41,1))-SUM(IF(Počet&gt;=J42,1))</f>
        <v>-165</v>
      </c>
      <c r="L41">
        <f t="array" ref="L41">SUM(IF(Počet&gt;=J41,Tržba))-SUM(IF(Počet&gt;=J42,Tržba))</f>
        <v>-5768000</v>
      </c>
      <c r="M41">
        <f t="array" ref="M41">SUM(IF((Počet&gt;=J41)&amp;(Počet&lt;J42)=TRUE&amp;TRUE,Tržba))</f>
        <v>0</v>
      </c>
    </row>
    <row r="42" spans="1:15" x14ac:dyDescent="0.2">
      <c r="A42" s="3">
        <v>35846</v>
      </c>
      <c r="B42" s="4">
        <v>2</v>
      </c>
      <c r="C42" s="4">
        <v>5</v>
      </c>
      <c r="D42" t="s">
        <v>14</v>
      </c>
      <c r="E42">
        <v>6</v>
      </c>
      <c r="F42">
        <v>2400</v>
      </c>
      <c r="G42">
        <v>14400</v>
      </c>
      <c r="H42" t="s">
        <v>16</v>
      </c>
    </row>
    <row r="43" spans="1:15" x14ac:dyDescent="0.2">
      <c r="A43" s="3">
        <v>35846</v>
      </c>
      <c r="B43" s="4">
        <v>2</v>
      </c>
      <c r="C43" s="4">
        <v>5</v>
      </c>
      <c r="D43" t="s">
        <v>13</v>
      </c>
      <c r="E43">
        <v>8</v>
      </c>
      <c r="F43">
        <v>19000</v>
      </c>
      <c r="G43">
        <v>152000</v>
      </c>
      <c r="H43" t="s">
        <v>9</v>
      </c>
      <c r="J43" t="s">
        <v>64</v>
      </c>
    </row>
    <row r="44" spans="1:15" x14ac:dyDescent="0.2">
      <c r="A44" s="3">
        <v>35846</v>
      </c>
      <c r="B44" s="4">
        <v>2</v>
      </c>
      <c r="C44" s="4">
        <v>5</v>
      </c>
      <c r="D44" t="s">
        <v>13</v>
      </c>
      <c r="E44">
        <v>8</v>
      </c>
      <c r="F44">
        <v>19000</v>
      </c>
      <c r="G44">
        <v>152000</v>
      </c>
      <c r="H44" t="s">
        <v>9</v>
      </c>
      <c r="J44" t="s">
        <v>60</v>
      </c>
      <c r="K44" t="s">
        <v>9</v>
      </c>
      <c r="L44" t="s">
        <v>11</v>
      </c>
      <c r="M44" t="s">
        <v>16</v>
      </c>
      <c r="N44" t="s">
        <v>15</v>
      </c>
      <c r="O44" t="s">
        <v>65</v>
      </c>
    </row>
    <row r="45" spans="1:15" x14ac:dyDescent="0.2">
      <c r="A45" s="3">
        <v>35849</v>
      </c>
      <c r="B45" s="4">
        <v>2</v>
      </c>
      <c r="C45" s="4">
        <v>1</v>
      </c>
      <c r="D45" t="s">
        <v>12</v>
      </c>
      <c r="E45">
        <v>6</v>
      </c>
      <c r="F45">
        <v>4000</v>
      </c>
      <c r="G45">
        <v>24000</v>
      </c>
      <c r="H45" t="s">
        <v>9</v>
      </c>
      <c r="J45">
        <v>0</v>
      </c>
      <c r="K45">
        <f t="array" ref="K45">SUM(IF((Počet&gt;=$J45)&amp;(Počet&lt;$J46)&amp;Zákazník=TRUE&amp;TRUE&amp;K$44,Tržba))</f>
        <v>0</v>
      </c>
      <c r="L45">
        <f t="array" ref="L45">SUM(IF((Počet&gt;=$J45)&amp;(Počet&lt;$J46)&amp;Zákazník=TRUE&amp;TRUE&amp;L$44,Tržba))</f>
        <v>0</v>
      </c>
      <c r="M45">
        <f t="array" ref="M45">SUM(IF((Počet&gt;=$J45)&amp;(Počet&lt;$J46)&amp;Zákazník=TRUE&amp;TRUE&amp;M$44,Tržba))</f>
        <v>0</v>
      </c>
      <c r="N45">
        <f t="array" ref="N45">SUM(IF((Počet&gt;=$J45)&amp;(Počet&lt;$J46)&amp;Zákazník=TRUE&amp;TRUE&amp;N$44,Tržba))</f>
        <v>0</v>
      </c>
      <c r="O45">
        <f>SUM(K45:N45)</f>
        <v>0</v>
      </c>
    </row>
    <row r="46" spans="1:15" x14ac:dyDescent="0.2">
      <c r="A46" s="3">
        <v>35850</v>
      </c>
      <c r="B46" s="4">
        <v>2</v>
      </c>
      <c r="C46" s="4">
        <v>2</v>
      </c>
      <c r="D46" t="s">
        <v>8</v>
      </c>
      <c r="E46">
        <v>4</v>
      </c>
      <c r="F46">
        <v>3800</v>
      </c>
      <c r="G46">
        <v>15200</v>
      </c>
      <c r="H46" t="s">
        <v>15</v>
      </c>
      <c r="J46">
        <v>1</v>
      </c>
      <c r="K46">
        <f t="array" ref="K46">SUM(IF((Počet&gt;=$J46)&amp;(Počet&lt;$J47)&amp;Zákazník=TRUE&amp;TRUE&amp;K$44,Tržba))</f>
        <v>0</v>
      </c>
      <c r="L46">
        <f t="array" ref="L46">SUM(IF((Počet&gt;=$J46)&amp;(Počet&lt;$J47)&amp;Zákazník=TRUE&amp;TRUE&amp;L$44,Tržba))</f>
        <v>0</v>
      </c>
      <c r="M46">
        <f t="array" ref="M46">SUM(IF((Počet&gt;=$J46)&amp;(Počet&lt;$J47)&amp;Zákazník=TRUE&amp;TRUE&amp;M$44,Tržba))</f>
        <v>0</v>
      </c>
      <c r="N46">
        <f t="array" ref="N46">SUM(IF((Počet&gt;=$J46)&amp;(Počet&lt;$J47)&amp;Zákazník=TRUE&amp;TRUE&amp;N$44,Tržba))</f>
        <v>0</v>
      </c>
      <c r="O46">
        <f t="shared" ref="O46:O55" si="2">SUM(K46:N46)</f>
        <v>0</v>
      </c>
    </row>
    <row r="47" spans="1:15" x14ac:dyDescent="0.2">
      <c r="A47" s="3">
        <v>35850</v>
      </c>
      <c r="B47" s="4">
        <v>2</v>
      </c>
      <c r="C47" s="4">
        <v>2</v>
      </c>
      <c r="D47" t="s">
        <v>8</v>
      </c>
      <c r="E47">
        <v>10</v>
      </c>
      <c r="F47">
        <v>3800</v>
      </c>
      <c r="G47">
        <v>38000</v>
      </c>
      <c r="H47" t="s">
        <v>9</v>
      </c>
      <c r="J47">
        <v>2</v>
      </c>
      <c r="K47">
        <f t="array" ref="K47">SUM(IF((Počet&gt;=$J47)&amp;(Počet&lt;$J48)&amp;Zákazník=TRUE&amp;TRUE&amp;K$44,Tržba))</f>
        <v>256800</v>
      </c>
      <c r="L47">
        <f t="array" ref="L47">SUM(IF((Počet&gt;=$J47)&amp;(Počet&lt;$J48)&amp;Zákazník=TRUE&amp;TRUE&amp;L$44,Tržba))</f>
        <v>0</v>
      </c>
      <c r="M47">
        <f t="array" ref="M47">SUM(IF((Počet&gt;=$J47)&amp;(Počet&lt;$J48)&amp;Zákazník=TRUE&amp;TRUE&amp;M$44,Tržba))</f>
        <v>0</v>
      </c>
      <c r="N47">
        <f t="array" ref="N47">SUM(IF((Počet&gt;=$J47)&amp;(Počet&lt;$J48)&amp;Zákazník=TRUE&amp;TRUE&amp;N$44,Tržba))</f>
        <v>0</v>
      </c>
      <c r="O47">
        <f t="shared" si="2"/>
        <v>256800</v>
      </c>
    </row>
    <row r="48" spans="1:15" x14ac:dyDescent="0.2">
      <c r="A48" s="3">
        <v>35852</v>
      </c>
      <c r="B48" s="4">
        <v>2</v>
      </c>
      <c r="C48" s="4">
        <v>4</v>
      </c>
      <c r="D48" t="s">
        <v>8</v>
      </c>
      <c r="E48">
        <v>10</v>
      </c>
      <c r="F48">
        <v>3800</v>
      </c>
      <c r="G48">
        <v>38000</v>
      </c>
      <c r="H48" t="s">
        <v>9</v>
      </c>
      <c r="J48">
        <v>3</v>
      </c>
      <c r="K48">
        <f t="array" ref="K48">SUM(IF((Počet&gt;=$J48)&amp;(Počet&lt;$J49)&amp;Zákazník=TRUE&amp;TRUE&amp;K$44,Tržba))</f>
        <v>0</v>
      </c>
      <c r="L48">
        <f t="array" ref="L48">SUM(IF((Počet&gt;=$J48)&amp;(Počet&lt;$J49)&amp;Zákazník=TRUE&amp;TRUE&amp;L$44,Tržba))</f>
        <v>0</v>
      </c>
      <c r="M48">
        <f t="array" ref="M48">SUM(IF((Počet&gt;=$J48)&amp;(Počet&lt;$J49)&amp;Zákazník=TRUE&amp;TRUE&amp;M$44,Tržba))</f>
        <v>0</v>
      </c>
      <c r="N48">
        <f t="array" ref="N48">SUM(IF((Počet&gt;=$J48)&amp;(Počet&lt;$J49)&amp;Zákazník=TRUE&amp;TRUE&amp;N$44,Tržba))</f>
        <v>0</v>
      </c>
      <c r="O48">
        <f t="shared" si="2"/>
        <v>0</v>
      </c>
    </row>
    <row r="49" spans="1:39" x14ac:dyDescent="0.2">
      <c r="A49" s="3">
        <v>35853</v>
      </c>
      <c r="B49" s="4">
        <v>2</v>
      </c>
      <c r="C49" s="4">
        <v>5</v>
      </c>
      <c r="D49" t="s">
        <v>8</v>
      </c>
      <c r="E49">
        <v>8</v>
      </c>
      <c r="F49">
        <v>3800</v>
      </c>
      <c r="G49">
        <v>30400</v>
      </c>
      <c r="H49" t="s">
        <v>9</v>
      </c>
      <c r="J49">
        <v>4</v>
      </c>
      <c r="K49">
        <f t="array" ref="K49">SUM(IF((Počet&gt;=$J49)&amp;(Počet&lt;$J50)&amp;Zákazník=TRUE&amp;TRUE&amp;K$44,Tržba))</f>
        <v>754000</v>
      </c>
      <c r="L49">
        <f t="array" ref="L49">SUM(IF((Počet&gt;=$J49)&amp;(Počet&lt;$J50)&amp;Zákazník=TRUE&amp;TRUE&amp;L$44,Tržba))</f>
        <v>15200</v>
      </c>
      <c r="M49">
        <f t="array" ref="M49">SUM(IF((Počet&gt;=$J49)&amp;(Počet&lt;$J50)&amp;Zákazník=TRUE&amp;TRUE&amp;M$44,Tržba))</f>
        <v>0</v>
      </c>
      <c r="N49">
        <f t="array" ref="N49">SUM(IF((Počet&gt;=$J49)&amp;(Počet&lt;$J50)&amp;Zákazník=TRUE&amp;TRUE&amp;N$44,Tržba))</f>
        <v>55200</v>
      </c>
      <c r="O49">
        <f t="shared" si="2"/>
        <v>824400</v>
      </c>
    </row>
    <row r="50" spans="1:39" x14ac:dyDescent="0.2">
      <c r="A50" s="3">
        <v>35853</v>
      </c>
      <c r="B50" s="4">
        <v>2</v>
      </c>
      <c r="C50" s="4">
        <v>5</v>
      </c>
      <c r="D50" t="s">
        <v>8</v>
      </c>
      <c r="E50">
        <v>2</v>
      </c>
      <c r="F50">
        <v>3800</v>
      </c>
      <c r="G50">
        <v>7600</v>
      </c>
      <c r="H50" t="s">
        <v>9</v>
      </c>
      <c r="J50">
        <v>5</v>
      </c>
      <c r="K50">
        <f t="array" ref="K50">SUM(IF((Počet&gt;=$J50)&amp;(Počet&lt;$J51)&amp;Zákazník=TRUE&amp;TRUE&amp;K$44,Tržba))</f>
        <v>0</v>
      </c>
      <c r="L50">
        <f t="array" ref="L50">SUM(IF((Počet&gt;=$J50)&amp;(Počet&lt;$J51)&amp;Zákazník=TRUE&amp;TRUE&amp;L$44,Tržba))</f>
        <v>0</v>
      </c>
      <c r="M50">
        <f t="array" ref="M50">SUM(IF((Počet&gt;=$J50)&amp;(Počet&lt;$J51)&amp;Zákazník=TRUE&amp;TRUE&amp;M$44,Tržba))</f>
        <v>0</v>
      </c>
      <c r="N50">
        <f t="array" ref="N50">SUM(IF((Počet&gt;=$J50)&amp;(Počet&lt;$J51)&amp;Zákazník=TRUE&amp;TRUE&amp;N$44,Tržba))</f>
        <v>0</v>
      </c>
      <c r="O50">
        <f t="shared" si="2"/>
        <v>0</v>
      </c>
    </row>
    <row r="51" spans="1:39" x14ac:dyDescent="0.2">
      <c r="A51" s="3">
        <v>35853</v>
      </c>
      <c r="B51" s="4">
        <v>2</v>
      </c>
      <c r="C51" s="4">
        <v>5</v>
      </c>
      <c r="D51" t="s">
        <v>14</v>
      </c>
      <c r="E51">
        <v>4</v>
      </c>
      <c r="F51">
        <v>2400</v>
      </c>
      <c r="G51">
        <v>9600</v>
      </c>
      <c r="H51" t="s">
        <v>9</v>
      </c>
      <c r="J51">
        <v>6</v>
      </c>
      <c r="K51">
        <f t="array" ref="K51">SUM(IF((Počet&gt;=$J51)&amp;(Počet&lt;$J52)&amp;Zákazník=TRUE&amp;TRUE&amp;K$44,Tržba))</f>
        <v>832200</v>
      </c>
      <c r="L51">
        <f t="array" ref="L51">SUM(IF((Počet&gt;=$J51)&amp;(Počet&lt;$J52)&amp;Zákazník=TRUE&amp;TRUE&amp;L$44,Tržba))</f>
        <v>0</v>
      </c>
      <c r="M51">
        <f t="array" ref="M51">SUM(IF((Počet&gt;=$J51)&amp;(Počet&lt;$J52)&amp;Zákazník=TRUE&amp;TRUE&amp;M$44,Tržba))</f>
        <v>14400</v>
      </c>
      <c r="N51">
        <f t="array" ref="N51">SUM(IF((Počet&gt;=$J51)&amp;(Počet&lt;$J52)&amp;Zákazník=TRUE&amp;TRUE&amp;N$44,Tržba))</f>
        <v>22800</v>
      </c>
      <c r="O51">
        <f t="shared" si="2"/>
        <v>869400</v>
      </c>
    </row>
    <row r="52" spans="1:39" x14ac:dyDescent="0.2">
      <c r="A52" s="3">
        <v>35860</v>
      </c>
      <c r="B52" s="4">
        <v>3</v>
      </c>
      <c r="C52" s="4">
        <v>5</v>
      </c>
      <c r="D52" t="s">
        <v>12</v>
      </c>
      <c r="E52">
        <v>6</v>
      </c>
      <c r="F52">
        <v>4000</v>
      </c>
      <c r="G52">
        <v>24000</v>
      </c>
      <c r="H52" t="s">
        <v>9</v>
      </c>
      <c r="J52">
        <v>7</v>
      </c>
      <c r="K52">
        <f t="array" ref="K52">SUM(IF((Počet&gt;=$J52)&amp;(Počet&lt;$J53)&amp;Zákazník=TRUE&amp;TRUE&amp;K$44,Tržba))</f>
        <v>0</v>
      </c>
      <c r="L52">
        <f t="array" ref="L52">SUM(IF((Počet&gt;=$J52)&amp;(Počet&lt;$J53)&amp;Zákazník=TRUE&amp;TRUE&amp;L$44,Tržba))</f>
        <v>0</v>
      </c>
      <c r="M52">
        <f t="array" ref="M52">SUM(IF((Počet&gt;=$J52)&amp;(Počet&lt;$J53)&amp;Zákazník=TRUE&amp;TRUE&amp;M$44,Tržba))</f>
        <v>0</v>
      </c>
      <c r="N52">
        <f t="array" ref="N52">SUM(IF((Počet&gt;=$J52)&amp;(Počet&lt;$J53)&amp;Zákazník=TRUE&amp;TRUE&amp;N$44,Tržba))</f>
        <v>0</v>
      </c>
      <c r="O52">
        <f t="shared" si="2"/>
        <v>0</v>
      </c>
    </row>
    <row r="53" spans="1:39" x14ac:dyDescent="0.2">
      <c r="A53" s="3">
        <v>35860</v>
      </c>
      <c r="B53" s="4">
        <v>3</v>
      </c>
      <c r="C53" s="4">
        <v>5</v>
      </c>
      <c r="D53" t="s">
        <v>13</v>
      </c>
      <c r="E53">
        <v>10</v>
      </c>
      <c r="F53">
        <v>19000</v>
      </c>
      <c r="G53">
        <v>190000</v>
      </c>
      <c r="H53" t="s">
        <v>9</v>
      </c>
      <c r="J53">
        <v>8</v>
      </c>
      <c r="K53">
        <f t="array" ref="K53">SUM(IF((Počet&gt;=$J53)&amp;(Počet&lt;$J54)&amp;Zákazník=TRUE&amp;TRUE&amp;K$44,Tržba))</f>
        <v>1642400</v>
      </c>
      <c r="L53">
        <f t="array" ref="L53">SUM(IF((Počet&gt;=$J53)&amp;(Počet&lt;$J54)&amp;Zákazník=TRUE&amp;TRUE&amp;L$44,Tržba))</f>
        <v>182400</v>
      </c>
      <c r="M53">
        <f t="array" ref="M53">SUM(IF((Počet&gt;=$J53)&amp;(Počet&lt;$J54)&amp;Zákazník=TRUE&amp;TRUE&amp;M$44,Tržba))</f>
        <v>15200</v>
      </c>
      <c r="N53">
        <f t="array" ref="N53">SUM(IF((Počet&gt;=$J53)&amp;(Počet&lt;$J54)&amp;Zákazník=TRUE&amp;TRUE&amp;N$44,Tržba))</f>
        <v>214400</v>
      </c>
      <c r="O53">
        <f t="shared" si="2"/>
        <v>2054400</v>
      </c>
    </row>
    <row r="54" spans="1:39" x14ac:dyDescent="0.2">
      <c r="A54" s="3">
        <v>35860</v>
      </c>
      <c r="B54" s="4">
        <v>3</v>
      </c>
      <c r="C54" s="4">
        <v>5</v>
      </c>
      <c r="D54" t="s">
        <v>8</v>
      </c>
      <c r="E54">
        <v>10</v>
      </c>
      <c r="F54">
        <v>3800</v>
      </c>
      <c r="G54">
        <v>38000</v>
      </c>
      <c r="H54" t="s">
        <v>9</v>
      </c>
      <c r="J54">
        <v>9</v>
      </c>
      <c r="K54">
        <f t="array" ref="K54">SUM(IF((Počet&gt;=$J54)&amp;(Počet&lt;$J55)&amp;Zákazník=TRUE&amp;TRUE&amp;K$44,Tržba))</f>
        <v>0</v>
      </c>
      <c r="L54">
        <f t="array" ref="L54">SUM(IF((Počet&gt;=$J54)&amp;(Počet&lt;$J55)&amp;Zákazník=TRUE&amp;TRUE&amp;L$44,Tržba))</f>
        <v>0</v>
      </c>
      <c r="M54">
        <f t="array" ref="M54">SUM(IF((Počet&gt;=$J54)&amp;(Počet&lt;$J55)&amp;Zákazník=TRUE&amp;TRUE&amp;M$44,Tržba))</f>
        <v>0</v>
      </c>
      <c r="N54">
        <f t="array" ref="N54">SUM(IF((Počet&gt;=$J54)&amp;(Počet&lt;$J55)&amp;Zákazník=TRUE&amp;TRUE&amp;N$44,Tržba))</f>
        <v>0</v>
      </c>
      <c r="O54">
        <f t="shared" si="2"/>
        <v>0</v>
      </c>
    </row>
    <row r="55" spans="1:39" x14ac:dyDescent="0.2">
      <c r="A55" s="3">
        <v>35860</v>
      </c>
      <c r="B55" s="4">
        <v>3</v>
      </c>
      <c r="C55" s="4">
        <v>5</v>
      </c>
      <c r="D55" t="s">
        <v>12</v>
      </c>
      <c r="E55">
        <v>2</v>
      </c>
      <c r="F55">
        <v>4000</v>
      </c>
      <c r="G55">
        <v>8000</v>
      </c>
      <c r="H55" t="s">
        <v>9</v>
      </c>
      <c r="J55">
        <v>10</v>
      </c>
      <c r="K55">
        <f t="array" ref="K55">SUM(IF((Počet&gt;=$J55)&amp;(Počet&lt;$J56)&amp;Zákazník=TRUE&amp;TRUE&amp;K$44,Tržba))</f>
        <v>1218000</v>
      </c>
      <c r="L55">
        <f t="array" ref="L55">SUM(IF((Počet&gt;=$J55)&amp;(Počet&lt;$J56)&amp;Zákazník=TRUE&amp;TRUE&amp;L$44,Tržba))</f>
        <v>196000</v>
      </c>
      <c r="M55">
        <f t="array" ref="M55">SUM(IF((Počet&gt;=$J55)&amp;(Počet&lt;$J56)&amp;Zákazník=TRUE&amp;TRUE&amp;M$44,Tržba))</f>
        <v>83000</v>
      </c>
      <c r="N55">
        <f t="array" ref="N55">SUM(IF((Počet&gt;=$J55)&amp;(Počet&lt;$J56)&amp;Zákazník=TRUE&amp;TRUE&amp;N$44,Tržba))</f>
        <v>266000</v>
      </c>
      <c r="O55">
        <f t="shared" si="2"/>
        <v>1763000</v>
      </c>
    </row>
    <row r="56" spans="1:39" x14ac:dyDescent="0.2">
      <c r="A56" s="3">
        <v>35860</v>
      </c>
      <c r="B56" s="4">
        <v>3</v>
      </c>
      <c r="C56" s="4">
        <v>5</v>
      </c>
      <c r="D56" t="s">
        <v>10</v>
      </c>
      <c r="E56">
        <v>4</v>
      </c>
      <c r="F56">
        <v>10000</v>
      </c>
      <c r="G56">
        <v>40000</v>
      </c>
      <c r="H56" t="s">
        <v>9</v>
      </c>
      <c r="J56">
        <v>11</v>
      </c>
      <c r="K56">
        <f>SUM(K45:K55)</f>
        <v>4703400</v>
      </c>
      <c r="L56">
        <f>SUM(L45:L55)</f>
        <v>393600</v>
      </c>
      <c r="M56">
        <f>SUM(M45:M55)</f>
        <v>112600</v>
      </c>
      <c r="N56">
        <f>SUM(N45:N55)</f>
        <v>558400</v>
      </c>
      <c r="O56">
        <f>SUM(K56:N56)</f>
        <v>5768000</v>
      </c>
    </row>
    <row r="57" spans="1:39" x14ac:dyDescent="0.2">
      <c r="A57" s="3">
        <v>35863</v>
      </c>
      <c r="B57" s="4">
        <v>3</v>
      </c>
      <c r="C57" s="4">
        <v>1</v>
      </c>
      <c r="D57" t="s">
        <v>17</v>
      </c>
      <c r="E57">
        <v>8</v>
      </c>
      <c r="F57">
        <v>1900</v>
      </c>
      <c r="G57">
        <v>15200</v>
      </c>
      <c r="H57" t="s">
        <v>9</v>
      </c>
    </row>
    <row r="58" spans="1:39" x14ac:dyDescent="0.2">
      <c r="A58" s="3">
        <v>35863</v>
      </c>
      <c r="B58" s="4">
        <v>3</v>
      </c>
      <c r="C58" s="4">
        <v>1</v>
      </c>
      <c r="D58" t="s">
        <v>13</v>
      </c>
      <c r="E58">
        <v>8</v>
      </c>
      <c r="F58">
        <v>19000</v>
      </c>
      <c r="G58">
        <v>152000</v>
      </c>
      <c r="H58" t="s">
        <v>9</v>
      </c>
      <c r="J58" s="2" t="s">
        <v>1</v>
      </c>
      <c r="K58" s="2" t="s">
        <v>2</v>
      </c>
      <c r="L58" s="1" t="s">
        <v>3</v>
      </c>
      <c r="M58" s="1" t="s">
        <v>4</v>
      </c>
      <c r="N58" s="1" t="s">
        <v>5</v>
      </c>
      <c r="O58" s="1" t="s">
        <v>6</v>
      </c>
      <c r="P58" s="1" t="s">
        <v>7</v>
      </c>
      <c r="X58" t="s">
        <v>246</v>
      </c>
    </row>
    <row r="59" spans="1:39" x14ac:dyDescent="0.2">
      <c r="A59" s="3">
        <v>35870</v>
      </c>
      <c r="B59" s="4">
        <v>3</v>
      </c>
      <c r="C59" s="4">
        <v>1</v>
      </c>
      <c r="D59" t="s">
        <v>8</v>
      </c>
      <c r="E59">
        <v>8</v>
      </c>
      <c r="F59">
        <v>3800</v>
      </c>
      <c r="G59">
        <v>30400</v>
      </c>
      <c r="H59" t="s">
        <v>9</v>
      </c>
      <c r="J59" s="4">
        <v>1</v>
      </c>
      <c r="K59" s="4">
        <v>1</v>
      </c>
      <c r="L59" t="s">
        <v>8</v>
      </c>
      <c r="M59" s="4">
        <v>10</v>
      </c>
      <c r="N59">
        <f>SUMIF($I$170:$I$175,L59,$J$170:$J$175)</f>
        <v>3800</v>
      </c>
      <c r="O59">
        <f>M59*N59</f>
        <v>38000</v>
      </c>
      <c r="P59" t="s">
        <v>15</v>
      </c>
      <c r="X59" s="35" t="s">
        <v>238</v>
      </c>
      <c r="Y59" s="35"/>
      <c r="Z59" s="35"/>
      <c r="AA59" s="35"/>
      <c r="AB59" s="35"/>
      <c r="AC59" s="35" t="s">
        <v>244</v>
      </c>
      <c r="AD59" s="35"/>
      <c r="AE59" s="35"/>
      <c r="AF59" s="35"/>
      <c r="AG59" s="35"/>
      <c r="AH59" s="35" t="s">
        <v>247</v>
      </c>
      <c r="AI59" s="35"/>
      <c r="AJ59" s="35"/>
      <c r="AK59" s="35"/>
      <c r="AL59" s="35"/>
      <c r="AM59" s="35" t="s">
        <v>248</v>
      </c>
    </row>
    <row r="60" spans="1:39" x14ac:dyDescent="0.2">
      <c r="A60" s="3">
        <v>35871</v>
      </c>
      <c r="B60" s="4">
        <v>3</v>
      </c>
      <c r="C60" s="4">
        <v>2</v>
      </c>
      <c r="D60" t="s">
        <v>12</v>
      </c>
      <c r="E60">
        <v>4</v>
      </c>
      <c r="F60">
        <v>4000</v>
      </c>
      <c r="G60">
        <v>16000</v>
      </c>
      <c r="H60" t="s">
        <v>9</v>
      </c>
      <c r="J60" t="s">
        <v>75</v>
      </c>
      <c r="X60" s="35" t="s">
        <v>239</v>
      </c>
      <c r="Y60" s="35" t="s">
        <v>240</v>
      </c>
      <c r="Z60" s="35" t="s">
        <v>241</v>
      </c>
      <c r="AA60" s="35" t="s">
        <v>242</v>
      </c>
      <c r="AB60" s="35" t="s">
        <v>243</v>
      </c>
      <c r="AC60" s="35" t="s">
        <v>239</v>
      </c>
      <c r="AD60" s="35" t="s">
        <v>240</v>
      </c>
      <c r="AE60" s="35" t="s">
        <v>241</v>
      </c>
      <c r="AF60" s="35" t="s">
        <v>242</v>
      </c>
      <c r="AG60" s="35" t="s">
        <v>243</v>
      </c>
      <c r="AH60" s="35" t="s">
        <v>239</v>
      </c>
      <c r="AI60" s="35" t="s">
        <v>240</v>
      </c>
      <c r="AJ60" s="35" t="s">
        <v>241</v>
      </c>
      <c r="AK60" s="35" t="s">
        <v>242</v>
      </c>
      <c r="AL60" s="35" t="s">
        <v>243</v>
      </c>
      <c r="AM60" s="35" t="s">
        <v>245</v>
      </c>
    </row>
    <row r="61" spans="1:39" x14ac:dyDescent="0.2">
      <c r="A61" s="3">
        <v>35874</v>
      </c>
      <c r="B61" s="4">
        <v>3</v>
      </c>
      <c r="C61" s="4">
        <v>5</v>
      </c>
      <c r="D61" t="s">
        <v>17</v>
      </c>
      <c r="E61">
        <v>10</v>
      </c>
      <c r="F61">
        <v>1900</v>
      </c>
      <c r="G61">
        <v>19000</v>
      </c>
      <c r="H61" t="s">
        <v>16</v>
      </c>
      <c r="J61" t="s">
        <v>74</v>
      </c>
      <c r="X61">
        <v>0</v>
      </c>
      <c r="Y61">
        <v>0</v>
      </c>
      <c r="Z61">
        <v>0</v>
      </c>
      <c r="AA61">
        <v>1</v>
      </c>
      <c r="AB61">
        <v>0</v>
      </c>
      <c r="AC61">
        <v>4.0000000000000001E-3</v>
      </c>
      <c r="AD61">
        <v>0.48799999999999999</v>
      </c>
      <c r="AE61">
        <v>2.5999999999999999E-2</v>
      </c>
      <c r="AF61">
        <v>0.52600000000000002</v>
      </c>
      <c r="AG61">
        <v>0.41799999999999998</v>
      </c>
      <c r="AH61">
        <f t="array" ref="AH61:AL61">IF(MAX(AC61:AG61)=AC61:AG61,1,0)</f>
        <v>0</v>
      </c>
      <c r="AI61">
        <v>0</v>
      </c>
      <c r="AJ61">
        <v>0</v>
      </c>
      <c r="AK61">
        <v>1</v>
      </c>
      <c r="AL61">
        <v>0</v>
      </c>
      <c r="AM61">
        <f t="array" ref="AM61">IF(AND(X61:AB61=AH61:AL61),0,1)</f>
        <v>0</v>
      </c>
    </row>
    <row r="62" spans="1:39" x14ac:dyDescent="0.2">
      <c r="A62" s="3">
        <v>35877</v>
      </c>
      <c r="B62" s="4">
        <v>3</v>
      </c>
      <c r="C62" s="4">
        <v>1</v>
      </c>
      <c r="D62" t="s">
        <v>8</v>
      </c>
      <c r="E62">
        <v>10</v>
      </c>
      <c r="F62">
        <v>3800</v>
      </c>
      <c r="G62">
        <v>38000</v>
      </c>
      <c r="H62" t="s">
        <v>11</v>
      </c>
      <c r="J62">
        <f t="array" ref="J62">SUM(IF(Měsíc&amp;Den&amp;(Počet&gt;=$M$59)=$J$59&amp;$K$59&amp;TRUE,1))/SUM(IF(Měsíc&amp;Den=$J$59&amp;$K$59,1))</f>
        <v>0.25</v>
      </c>
    </row>
    <row r="63" spans="1:39" x14ac:dyDescent="0.2">
      <c r="A63" s="3">
        <v>35877</v>
      </c>
      <c r="B63" s="4">
        <v>3</v>
      </c>
      <c r="C63" s="4">
        <v>1</v>
      </c>
      <c r="D63" t="s">
        <v>8</v>
      </c>
      <c r="E63">
        <v>4</v>
      </c>
      <c r="F63">
        <v>3800</v>
      </c>
      <c r="G63">
        <v>15200</v>
      </c>
      <c r="H63" t="s">
        <v>9</v>
      </c>
    </row>
    <row r="64" spans="1:39" x14ac:dyDescent="0.2">
      <c r="A64" s="3">
        <v>35879</v>
      </c>
      <c r="B64" s="4">
        <v>3</v>
      </c>
      <c r="C64" s="4">
        <v>3</v>
      </c>
      <c r="D64" t="s">
        <v>17</v>
      </c>
      <c r="E64">
        <v>6</v>
      </c>
      <c r="F64">
        <v>1900</v>
      </c>
      <c r="G64">
        <v>11400</v>
      </c>
      <c r="H64" t="s">
        <v>9</v>
      </c>
      <c r="J64">
        <f t="shared" ref="J64:O64" ca="1" si="3">RAND()</f>
        <v>0.69909726150759555</v>
      </c>
      <c r="K64">
        <f t="shared" ca="1" si="3"/>
        <v>0.64670519621036004</v>
      </c>
      <c r="L64">
        <f t="shared" ca="1" si="3"/>
        <v>0.22354522263354837</v>
      </c>
      <c r="M64">
        <f t="shared" ca="1" si="3"/>
        <v>0.46721056769222469</v>
      </c>
      <c r="N64">
        <f t="shared" ca="1" si="3"/>
        <v>0.39185550251129941</v>
      </c>
      <c r="O64">
        <f t="shared" ca="1" si="3"/>
        <v>0.37653467583341982</v>
      </c>
      <c r="P64" t="s">
        <v>78</v>
      </c>
      <c r="X64" t="s">
        <v>254</v>
      </c>
    </row>
    <row r="65" spans="1:38" x14ac:dyDescent="0.2">
      <c r="A65" s="3">
        <v>35884</v>
      </c>
      <c r="B65" s="4">
        <v>3</v>
      </c>
      <c r="C65" s="4">
        <v>1</v>
      </c>
      <c r="D65" t="s">
        <v>14</v>
      </c>
      <c r="E65">
        <v>8</v>
      </c>
      <c r="F65">
        <v>2400</v>
      </c>
      <c r="G65">
        <v>19200</v>
      </c>
      <c r="H65" t="s">
        <v>9</v>
      </c>
      <c r="J65">
        <f t="array" aca="1" ref="J65" ca="1">ROUND(RAND(),0)</f>
        <v>0</v>
      </c>
      <c r="K65">
        <f t="array" aca="1" ref="K65" ca="1">ROUND(RAND(),0)</f>
        <v>1</v>
      </c>
      <c r="L65">
        <f t="array" aca="1" ref="L65" ca="1">ROUND(RAND(),0)</f>
        <v>0</v>
      </c>
      <c r="M65">
        <f t="array" aca="1" ref="M65" ca="1">ROUND(RAND(),0)</f>
        <v>0</v>
      </c>
      <c r="N65">
        <f t="array" aca="1" ref="N65" ca="1">ROUND(RAND(),0)</f>
        <v>0</v>
      </c>
      <c r="O65">
        <f t="array" aca="1" ref="O65" ca="1">ROUND(RAND(),0)</f>
        <v>0</v>
      </c>
      <c r="P65" t="s">
        <v>79</v>
      </c>
      <c r="X65" s="47">
        <v>14</v>
      </c>
      <c r="Y65" s="47">
        <f t="array" aca="1" ref="Y65" ca="1">SUM(1*MID(X65,ROW(INDIRECT("1:"&amp;LEN(X65))),1))</f>
        <v>5</v>
      </c>
      <c r="AC65">
        <v>13</v>
      </c>
      <c r="AD65" s="47">
        <f t="array" aca="1" ref="AD65" ca="1">SUM((2^(ROW(INDIRECT("1:"&amp;1+ROUNDUP(LOG(MAX(X65,AC65),2),0)))-1))*IF(MOD(ROUNDDOWN(X65/(2^(ROW(INDIRECT("1:"&amp;1+ROUNDUP(LOG(MAX(X65,AC65),2),0)))-1)),0),2)=0,0,1)*IF(MOD(ROUNDDOWN(AC65/(2^(ROW(INDIRECT("1:"&amp;1+ROUNDUP(LOG(MAX(X65,AC65),2),0)))-1)),0),2)=0,0,1))</f>
        <v>12</v>
      </c>
      <c r="AE65" s="47" t="s">
        <v>255</v>
      </c>
      <c r="AK65">
        <v>10</v>
      </c>
      <c r="AL65" t="s">
        <v>259</v>
      </c>
    </row>
    <row r="66" spans="1:38" x14ac:dyDescent="0.2">
      <c r="A66" s="3">
        <v>35891</v>
      </c>
      <c r="B66" s="4">
        <v>4</v>
      </c>
      <c r="C66" s="4">
        <v>1</v>
      </c>
      <c r="D66" t="s">
        <v>17</v>
      </c>
      <c r="E66">
        <v>4</v>
      </c>
      <c r="F66">
        <v>1900</v>
      </c>
      <c r="G66">
        <v>7600</v>
      </c>
      <c r="H66" t="s">
        <v>9</v>
      </c>
      <c r="O66">
        <f t="array" aca="1" ref="O66" ca="1">PRODUCT(IF(J65:O65=1,J64:O64))</f>
        <v>0.64670519621036004</v>
      </c>
      <c r="P66" t="s">
        <v>220</v>
      </c>
      <c r="X66" s="47" t="s">
        <v>253</v>
      </c>
      <c r="Y66" s="47">
        <f t="array" aca="1" ref="Y66" ca="1">SUM(IF(MOD(ROUNDDOWN(X65/(2^(ROW(INDIRECT("1:"&amp;1+ROUNDUP(LOG(X65,2),0)))-1)),0),2)=0,0,1))</f>
        <v>3</v>
      </c>
      <c r="AD66" s="47">
        <f t="array" aca="1" ref="AD66" ca="1">SUM(IF(MOD(ROUNDDOWN(X65/(2^(ROW(INDIRECT("1:"&amp;1+ROUNDUP(LOG(MAX(X65,AC65),2),0)))-1)),0),2)=0,0,1)*IF(MOD(ROUNDDOWN(AC65/(2^(ROW(INDIRECT("1:"&amp;1+ROUNDUP(LOG(MAX(X65,AC65),2),0)))-1)),0),2)=0,0,1))</f>
        <v>2</v>
      </c>
      <c r="AE66" t="s">
        <v>256</v>
      </c>
      <c r="AK66" t="s">
        <v>260</v>
      </c>
      <c r="AL66" t="s">
        <v>261</v>
      </c>
    </row>
    <row r="67" spans="1:38" x14ac:dyDescent="0.2">
      <c r="A67" s="3">
        <v>35891</v>
      </c>
      <c r="B67" s="4">
        <v>4</v>
      </c>
      <c r="C67" s="4">
        <v>1</v>
      </c>
      <c r="D67" t="s">
        <v>17</v>
      </c>
      <c r="E67">
        <v>10</v>
      </c>
      <c r="F67">
        <v>1900</v>
      </c>
      <c r="G67">
        <v>19000</v>
      </c>
      <c r="H67" t="s">
        <v>9</v>
      </c>
      <c r="AK67">
        <f t="shared" ref="AK67:AK91" ca="1" si="4">ROUND($AK$65*RAND(),0)</f>
        <v>7</v>
      </c>
      <c r="AL67">
        <f t="shared" ref="AL67:AL91" ca="1" si="5">(AK67-$AK$92)^2</f>
        <v>5.7600000000000016</v>
      </c>
    </row>
    <row r="68" spans="1:38" x14ac:dyDescent="0.2">
      <c r="A68" s="3">
        <v>35892</v>
      </c>
      <c r="B68" s="4">
        <v>4</v>
      </c>
      <c r="C68" s="4">
        <v>2</v>
      </c>
      <c r="D68" t="s">
        <v>8</v>
      </c>
      <c r="E68">
        <v>6</v>
      </c>
      <c r="F68">
        <v>3800</v>
      </c>
      <c r="G68">
        <v>22800</v>
      </c>
      <c r="H68" t="s">
        <v>9</v>
      </c>
      <c r="J68" t="s">
        <v>90</v>
      </c>
      <c r="N68" t="s">
        <v>214</v>
      </c>
      <c r="O68" t="s">
        <v>215</v>
      </c>
      <c r="X68">
        <v>33</v>
      </c>
      <c r="Y68">
        <f>IF(MOD(ROUNDDOWN(X$65/2^X68,0),2)=0,0,1)</f>
        <v>0</v>
      </c>
      <c r="Z68" t="str">
        <f t="shared" ref="Z68:Z78" si="6">Y68&amp;Z69</f>
        <v>0000000000000000000000000000001110</v>
      </c>
      <c r="AK68">
        <f t="shared" ca="1" si="4"/>
        <v>7</v>
      </c>
      <c r="AL68">
        <f t="shared" ca="1" si="5"/>
        <v>5.7600000000000016</v>
      </c>
    </row>
    <row r="69" spans="1:38" x14ac:dyDescent="0.2">
      <c r="A69" s="3">
        <v>35892</v>
      </c>
      <c r="B69" s="4">
        <v>4</v>
      </c>
      <c r="C69" s="4">
        <v>2</v>
      </c>
      <c r="D69" t="s">
        <v>17</v>
      </c>
      <c r="E69">
        <v>6</v>
      </c>
      <c r="F69">
        <v>1900</v>
      </c>
      <c r="G69">
        <v>11400</v>
      </c>
      <c r="H69" t="s">
        <v>9</v>
      </c>
      <c r="J69" t="s">
        <v>91</v>
      </c>
      <c r="N69" t="s">
        <v>216</v>
      </c>
      <c r="O69" t="s">
        <v>217</v>
      </c>
      <c r="X69">
        <v>32</v>
      </c>
      <c r="Y69">
        <f t="shared" ref="Y69:Y101" si="7">IF(MOD(ROUNDDOWN(X$65/2^X69,0),2)=0,0,1)</f>
        <v>0</v>
      </c>
      <c r="Z69" t="str">
        <f t="shared" si="6"/>
        <v>000000000000000000000000000001110</v>
      </c>
      <c r="AK69">
        <f t="shared" ca="1" si="4"/>
        <v>2</v>
      </c>
      <c r="AL69">
        <f t="shared" ca="1" si="5"/>
        <v>6.759999999999998</v>
      </c>
    </row>
    <row r="70" spans="1:38" x14ac:dyDescent="0.2">
      <c r="A70" s="3">
        <v>35893</v>
      </c>
      <c r="B70" s="4">
        <v>4</v>
      </c>
      <c r="C70" s="4">
        <v>3</v>
      </c>
      <c r="D70" t="s">
        <v>12</v>
      </c>
      <c r="E70">
        <v>4</v>
      </c>
      <c r="F70">
        <v>4000</v>
      </c>
      <c r="G70">
        <v>16000</v>
      </c>
      <c r="H70" t="s">
        <v>9</v>
      </c>
      <c r="J70" t="s">
        <v>92</v>
      </c>
      <c r="N70" t="s">
        <v>217</v>
      </c>
      <c r="O70" t="b">
        <f t="array" ref="O70">OR(O69=N68:N72)</f>
        <v>1</v>
      </c>
      <c r="X70">
        <v>31</v>
      </c>
      <c r="Y70">
        <f t="shared" si="7"/>
        <v>0</v>
      </c>
      <c r="Z70" t="str">
        <f t="shared" si="6"/>
        <v>00000000000000000000000000001110</v>
      </c>
      <c r="AK70">
        <f t="shared" ca="1" si="4"/>
        <v>7</v>
      </c>
      <c r="AL70">
        <f t="shared" ca="1" si="5"/>
        <v>5.7600000000000016</v>
      </c>
    </row>
    <row r="71" spans="1:38" x14ac:dyDescent="0.2">
      <c r="A71" s="3">
        <v>35893</v>
      </c>
      <c r="B71" s="4">
        <v>4</v>
      </c>
      <c r="C71" s="4">
        <v>3</v>
      </c>
      <c r="D71" t="s">
        <v>14</v>
      </c>
      <c r="E71">
        <v>4</v>
      </c>
      <c r="F71">
        <v>2400</v>
      </c>
      <c r="G71">
        <v>9600</v>
      </c>
      <c r="H71" t="s">
        <v>9</v>
      </c>
      <c r="J71">
        <f t="array" ref="J71">MAX(LEN(J68:J70))</f>
        <v>7</v>
      </c>
      <c r="K71" t="s">
        <v>93</v>
      </c>
      <c r="N71" t="s">
        <v>218</v>
      </c>
      <c r="X71">
        <v>30</v>
      </c>
      <c r="Y71">
        <f t="shared" si="7"/>
        <v>0</v>
      </c>
      <c r="Z71" t="str">
        <f t="shared" si="6"/>
        <v>0000000000000000000000000001110</v>
      </c>
      <c r="AK71">
        <f t="shared" ca="1" si="4"/>
        <v>4</v>
      </c>
      <c r="AL71">
        <f t="shared" ca="1" si="5"/>
        <v>0.3599999999999996</v>
      </c>
    </row>
    <row r="72" spans="1:38" x14ac:dyDescent="0.2">
      <c r="A72" s="3">
        <v>35893</v>
      </c>
      <c r="B72" s="4">
        <v>4</v>
      </c>
      <c r="C72" s="4">
        <v>3</v>
      </c>
      <c r="D72" t="s">
        <v>10</v>
      </c>
      <c r="E72">
        <v>8</v>
      </c>
      <c r="F72">
        <v>10000</v>
      </c>
      <c r="G72">
        <v>80000</v>
      </c>
      <c r="H72" t="s">
        <v>9</v>
      </c>
      <c r="N72" t="s">
        <v>219</v>
      </c>
      <c r="X72">
        <v>29</v>
      </c>
      <c r="Y72">
        <f t="shared" si="7"/>
        <v>0</v>
      </c>
      <c r="Z72" t="str">
        <f t="shared" si="6"/>
        <v>000000000000000000000000001110</v>
      </c>
      <c r="AK72">
        <f t="shared" ca="1" si="4"/>
        <v>4</v>
      </c>
      <c r="AL72">
        <f t="shared" ca="1" si="5"/>
        <v>0.3599999999999996</v>
      </c>
    </row>
    <row r="73" spans="1:38" x14ac:dyDescent="0.2">
      <c r="A73" s="3">
        <v>35893</v>
      </c>
      <c r="B73" s="4">
        <v>4</v>
      </c>
      <c r="C73" s="4">
        <v>3</v>
      </c>
      <c r="D73" t="s">
        <v>17</v>
      </c>
      <c r="E73">
        <v>6</v>
      </c>
      <c r="F73">
        <v>1900</v>
      </c>
      <c r="G73">
        <v>11400</v>
      </c>
      <c r="H73" t="s">
        <v>9</v>
      </c>
      <c r="X73">
        <v>28</v>
      </c>
      <c r="Y73">
        <f t="shared" si="7"/>
        <v>0</v>
      </c>
      <c r="Z73" t="str">
        <f t="shared" si="6"/>
        <v>00000000000000000000000001110</v>
      </c>
      <c r="AK73">
        <f t="shared" ca="1" si="4"/>
        <v>8</v>
      </c>
      <c r="AL73">
        <f t="shared" ca="1" si="5"/>
        <v>11.560000000000002</v>
      </c>
    </row>
    <row r="74" spans="1:38" x14ac:dyDescent="0.2">
      <c r="A74" s="3">
        <v>35894</v>
      </c>
      <c r="B74" s="4">
        <v>4</v>
      </c>
      <c r="C74" s="4">
        <v>4</v>
      </c>
      <c r="D74" t="s">
        <v>8</v>
      </c>
      <c r="E74">
        <v>2</v>
      </c>
      <c r="F74">
        <v>3800</v>
      </c>
      <c r="G74">
        <v>7600</v>
      </c>
      <c r="H74" t="s">
        <v>9</v>
      </c>
      <c r="J74" s="35" t="s">
        <v>94</v>
      </c>
      <c r="K74" s="35" t="s">
        <v>95</v>
      </c>
      <c r="L74" s="35" t="s">
        <v>96</v>
      </c>
      <c r="N74" s="35" t="s">
        <v>94</v>
      </c>
      <c r="O74" s="35" t="s">
        <v>95</v>
      </c>
      <c r="Q74" s="35" t="s">
        <v>94</v>
      </c>
      <c r="R74" s="35" t="s">
        <v>97</v>
      </c>
      <c r="S74" s="35" t="s">
        <v>98</v>
      </c>
      <c r="T74" s="35" t="s">
        <v>99</v>
      </c>
      <c r="X74">
        <v>27</v>
      </c>
      <c r="Y74">
        <f t="shared" si="7"/>
        <v>0</v>
      </c>
      <c r="Z74" t="str">
        <f t="shared" si="6"/>
        <v>0000000000000000000000001110</v>
      </c>
      <c r="AK74">
        <f t="shared" ca="1" si="4"/>
        <v>2</v>
      </c>
      <c r="AL74">
        <f t="shared" ca="1" si="5"/>
        <v>6.759999999999998</v>
      </c>
    </row>
    <row r="75" spans="1:38" x14ac:dyDescent="0.2">
      <c r="A75" s="3">
        <v>35895</v>
      </c>
      <c r="B75" s="4">
        <v>4</v>
      </c>
      <c r="C75" s="4">
        <v>5</v>
      </c>
      <c r="D75" t="s">
        <v>12</v>
      </c>
      <c r="E75">
        <v>10</v>
      </c>
      <c r="F75">
        <v>4000</v>
      </c>
      <c r="G75">
        <v>40000</v>
      </c>
      <c r="H75" t="s">
        <v>9</v>
      </c>
      <c r="J75" t="s">
        <v>100</v>
      </c>
      <c r="K75">
        <v>5</v>
      </c>
      <c r="L75" t="s">
        <v>101</v>
      </c>
      <c r="N75" t="s">
        <v>102</v>
      </c>
      <c r="O75">
        <f t="array" ref="O75">SUM(IF(ISERROR(SEARCH(N75,$J$75:$J$85)),0,$K$75:$K$85))</f>
        <v>19</v>
      </c>
      <c r="Q75" t="s">
        <v>102</v>
      </c>
      <c r="R75">
        <f t="array" ref="R75">SUM(IF(ISERROR(SEARCH($Q75,$J$75:$J$85))&amp;R$74=FALSE&amp;$L$75:$L$85,$K$75:$K$85))</f>
        <v>5</v>
      </c>
      <c r="S75">
        <f t="array" ref="S75">SUM(IF(ISERROR(SEARCH($Q75,$J$75:$J$85))&amp;S$74=FALSE&amp;$L$75:$L$85,$K$75:$K$85))</f>
        <v>14</v>
      </c>
      <c r="T75">
        <f>SUM(R75:S75)</f>
        <v>19</v>
      </c>
      <c r="X75">
        <v>26</v>
      </c>
      <c r="Y75">
        <f t="shared" si="7"/>
        <v>0</v>
      </c>
      <c r="Z75" t="str">
        <f t="shared" si="6"/>
        <v>000000000000000000000001110</v>
      </c>
      <c r="AK75">
        <f t="shared" ca="1" si="4"/>
        <v>2</v>
      </c>
      <c r="AL75">
        <f t="shared" ca="1" si="5"/>
        <v>6.759999999999998</v>
      </c>
    </row>
    <row r="76" spans="1:38" x14ac:dyDescent="0.2">
      <c r="A76" s="3">
        <v>35895</v>
      </c>
      <c r="B76" s="4">
        <v>4</v>
      </c>
      <c r="C76" s="4">
        <v>5</v>
      </c>
      <c r="D76" t="s">
        <v>14</v>
      </c>
      <c r="E76">
        <v>10</v>
      </c>
      <c r="F76">
        <v>2400</v>
      </c>
      <c r="G76">
        <v>24000</v>
      </c>
      <c r="H76" t="s">
        <v>16</v>
      </c>
      <c r="J76" t="s">
        <v>103</v>
      </c>
      <c r="K76">
        <v>2</v>
      </c>
      <c r="L76" t="s">
        <v>104</v>
      </c>
      <c r="N76" t="s">
        <v>105</v>
      </c>
      <c r="O76">
        <f t="array" ref="O76">SUM(IF(ISERROR(SEARCH(N76,$J$75:$J$85)),0,$K$75:$K$85))</f>
        <v>17</v>
      </c>
      <c r="Q76" t="s">
        <v>105</v>
      </c>
      <c r="R76">
        <f t="array" ref="R76">SUM(IF(ISERROR(SEARCH($Q76,$J$75:$J$85))&amp;R$74=FALSE&amp;$L$75:$L$85,$K$75:$K$85))</f>
        <v>10</v>
      </c>
      <c r="S76">
        <f t="array" ref="S76">SUM(IF(ISERROR(SEARCH($Q76,$J$75:$J$85))&amp;S$74=FALSE&amp;$L$75:$L$85,$K$75:$K$85))</f>
        <v>7</v>
      </c>
      <c r="T76">
        <f>SUM(R76:S76)</f>
        <v>17</v>
      </c>
      <c r="X76">
        <v>25</v>
      </c>
      <c r="Y76">
        <f t="shared" si="7"/>
        <v>0</v>
      </c>
      <c r="Z76" t="str">
        <f t="shared" si="6"/>
        <v>00000000000000000000001110</v>
      </c>
      <c r="AK76">
        <f t="shared" ca="1" si="4"/>
        <v>4</v>
      </c>
      <c r="AL76">
        <f t="shared" ca="1" si="5"/>
        <v>0.3599999999999996</v>
      </c>
    </row>
    <row r="77" spans="1:38" x14ac:dyDescent="0.2">
      <c r="A77" s="3">
        <v>35895</v>
      </c>
      <c r="B77" s="4">
        <v>4</v>
      </c>
      <c r="C77" s="4">
        <v>5</v>
      </c>
      <c r="D77" t="s">
        <v>14</v>
      </c>
      <c r="E77">
        <v>6</v>
      </c>
      <c r="F77">
        <v>2400</v>
      </c>
      <c r="G77">
        <v>14400</v>
      </c>
      <c r="H77" t="s">
        <v>9</v>
      </c>
      <c r="J77" t="s">
        <v>106</v>
      </c>
      <c r="K77">
        <v>3</v>
      </c>
      <c r="L77" t="s">
        <v>104</v>
      </c>
      <c r="N77" t="s">
        <v>107</v>
      </c>
      <c r="O77">
        <f t="array" ref="O77">SUM(IF(ISERROR(SEARCH(N77,$J$75:$J$85)),0,$K$75:$K$85))</f>
        <v>10</v>
      </c>
      <c r="Q77" t="s">
        <v>107</v>
      </c>
      <c r="R77">
        <f t="array" ref="R77">SUM(IF(ISERROR(SEARCH($Q77,$J$75:$J$85))&amp;R$74=FALSE&amp;$L$75:$L$85,$K$75:$K$85))</f>
        <v>1</v>
      </c>
      <c r="S77">
        <f t="array" ref="S77">SUM(IF(ISERROR(SEARCH($Q77,$J$75:$J$85))&amp;S$74=FALSE&amp;$L$75:$L$85,$K$75:$K$85))</f>
        <v>9</v>
      </c>
      <c r="T77">
        <f>SUM(R77:S77)</f>
        <v>10</v>
      </c>
      <c r="X77">
        <v>24</v>
      </c>
      <c r="Y77">
        <f t="shared" si="7"/>
        <v>0</v>
      </c>
      <c r="Z77" t="str">
        <f t="shared" si="6"/>
        <v>0000000000000000000001110</v>
      </c>
      <c r="AK77">
        <f t="shared" ca="1" si="4"/>
        <v>2</v>
      </c>
      <c r="AL77">
        <f t="shared" ca="1" si="5"/>
        <v>6.759999999999998</v>
      </c>
    </row>
    <row r="78" spans="1:38" x14ac:dyDescent="0.2">
      <c r="A78" s="3">
        <v>35899</v>
      </c>
      <c r="B78" s="4">
        <v>4</v>
      </c>
      <c r="C78" s="4">
        <v>2</v>
      </c>
      <c r="D78" t="s">
        <v>17</v>
      </c>
      <c r="E78">
        <v>10</v>
      </c>
      <c r="F78">
        <v>1900</v>
      </c>
      <c r="G78">
        <v>19000</v>
      </c>
      <c r="H78" t="s">
        <v>9</v>
      </c>
      <c r="J78" t="s">
        <v>108</v>
      </c>
      <c r="K78">
        <v>9</v>
      </c>
      <c r="L78" t="s">
        <v>104</v>
      </c>
      <c r="N78" t="s">
        <v>109</v>
      </c>
      <c r="O78">
        <f t="array" ref="O78">SUM(IF(ISERROR(SEARCH(N78,$J$75:$J$85)),0,$K$75:$K$85))</f>
        <v>12</v>
      </c>
      <c r="Q78" t="s">
        <v>109</v>
      </c>
      <c r="R78">
        <f t="array" ref="R78">SUM(IF(ISERROR(SEARCH($Q78,$J$75:$J$85))&amp;R$74=FALSE&amp;$L$75:$L$85,$K$75:$K$85))</f>
        <v>0</v>
      </c>
      <c r="S78">
        <f t="array" ref="S78">SUM(IF(ISERROR(SEARCH($Q78,$J$75:$J$85))&amp;S$74=FALSE&amp;$L$75:$L$85,$K$75:$K$85))</f>
        <v>12</v>
      </c>
      <c r="T78">
        <f>SUM(R78:S78)</f>
        <v>12</v>
      </c>
      <c r="X78">
        <v>23</v>
      </c>
      <c r="Y78">
        <f t="shared" si="7"/>
        <v>0</v>
      </c>
      <c r="Z78" t="str">
        <f t="shared" si="6"/>
        <v>000000000000000000001110</v>
      </c>
      <c r="AK78">
        <f t="shared" ca="1" si="4"/>
        <v>2</v>
      </c>
      <c r="AL78">
        <f t="shared" ca="1" si="5"/>
        <v>6.759999999999998</v>
      </c>
    </row>
    <row r="79" spans="1:38" x14ac:dyDescent="0.2">
      <c r="A79" s="3">
        <v>35900</v>
      </c>
      <c r="B79" s="4">
        <v>4</v>
      </c>
      <c r="C79" s="4">
        <v>3</v>
      </c>
      <c r="D79" t="s">
        <v>17</v>
      </c>
      <c r="E79">
        <v>4</v>
      </c>
      <c r="F79">
        <v>1900</v>
      </c>
      <c r="G79">
        <v>7600</v>
      </c>
      <c r="H79" t="s">
        <v>9</v>
      </c>
      <c r="J79" t="s">
        <v>110</v>
      </c>
      <c r="K79">
        <v>7</v>
      </c>
      <c r="L79" t="s">
        <v>104</v>
      </c>
      <c r="X79">
        <v>22</v>
      </c>
      <c r="Y79">
        <f t="shared" si="7"/>
        <v>0</v>
      </c>
      <c r="Z79" t="str">
        <f t="shared" ref="Z79:Z99" si="8">Y79&amp;Z80</f>
        <v>00000000000000000001110</v>
      </c>
      <c r="AK79">
        <f t="shared" ca="1" si="4"/>
        <v>4</v>
      </c>
      <c r="AL79">
        <f t="shared" ca="1" si="5"/>
        <v>0.3599999999999996</v>
      </c>
    </row>
    <row r="80" spans="1:38" x14ac:dyDescent="0.2">
      <c r="A80" s="3">
        <v>35901</v>
      </c>
      <c r="B80" s="4">
        <v>4</v>
      </c>
      <c r="C80" s="4">
        <v>4</v>
      </c>
      <c r="D80" t="s">
        <v>8</v>
      </c>
      <c r="E80">
        <v>4</v>
      </c>
      <c r="F80">
        <v>3800</v>
      </c>
      <c r="G80">
        <v>15200</v>
      </c>
      <c r="H80" t="s">
        <v>15</v>
      </c>
      <c r="J80" t="s">
        <v>111</v>
      </c>
      <c r="K80">
        <v>4</v>
      </c>
      <c r="L80" t="s">
        <v>101</v>
      </c>
      <c r="X80">
        <v>21</v>
      </c>
      <c r="Y80">
        <f t="shared" si="7"/>
        <v>0</v>
      </c>
      <c r="Z80" t="str">
        <f t="shared" si="8"/>
        <v>0000000000000000001110</v>
      </c>
      <c r="AK80">
        <f t="shared" ca="1" si="4"/>
        <v>6</v>
      </c>
      <c r="AL80">
        <f t="shared" ca="1" si="5"/>
        <v>1.9600000000000011</v>
      </c>
    </row>
    <row r="81" spans="1:39" x14ac:dyDescent="0.2">
      <c r="A81" s="3">
        <v>35902</v>
      </c>
      <c r="B81" s="4">
        <v>4</v>
      </c>
      <c r="C81" s="4">
        <v>5</v>
      </c>
      <c r="D81" t="s">
        <v>12</v>
      </c>
      <c r="E81">
        <v>4</v>
      </c>
      <c r="F81">
        <v>4000</v>
      </c>
      <c r="G81">
        <v>16000</v>
      </c>
      <c r="H81" t="s">
        <v>9</v>
      </c>
      <c r="J81" t="s">
        <v>112</v>
      </c>
      <c r="K81">
        <v>6</v>
      </c>
      <c r="L81" t="s">
        <v>101</v>
      </c>
      <c r="X81">
        <v>20</v>
      </c>
      <c r="Y81">
        <f t="shared" si="7"/>
        <v>0</v>
      </c>
      <c r="Z81" t="str">
        <f t="shared" si="8"/>
        <v>000000000000000001110</v>
      </c>
      <c r="AK81">
        <f t="shared" ca="1" si="4"/>
        <v>0</v>
      </c>
      <c r="AL81">
        <f t="shared" ca="1" si="5"/>
        <v>21.159999999999997</v>
      </c>
    </row>
    <row r="82" spans="1:39" x14ac:dyDescent="0.2">
      <c r="A82" s="3">
        <v>35902</v>
      </c>
      <c r="B82" s="4">
        <v>4</v>
      </c>
      <c r="C82" s="4">
        <v>5</v>
      </c>
      <c r="D82" t="s">
        <v>14</v>
      </c>
      <c r="E82">
        <v>2</v>
      </c>
      <c r="F82">
        <v>2400</v>
      </c>
      <c r="G82">
        <v>4800</v>
      </c>
      <c r="H82" t="s">
        <v>9</v>
      </c>
      <c r="J82" t="s">
        <v>107</v>
      </c>
      <c r="K82">
        <v>1</v>
      </c>
      <c r="L82" t="s">
        <v>101</v>
      </c>
      <c r="X82">
        <v>19</v>
      </c>
      <c r="Y82">
        <f t="shared" si="7"/>
        <v>0</v>
      </c>
      <c r="Z82" t="str">
        <f t="shared" si="8"/>
        <v>00000000000000001110</v>
      </c>
      <c r="AK82">
        <f t="shared" ca="1" si="4"/>
        <v>1</v>
      </c>
      <c r="AL82">
        <f t="shared" ca="1" si="5"/>
        <v>12.959999999999997</v>
      </c>
    </row>
    <row r="83" spans="1:39" x14ac:dyDescent="0.2">
      <c r="A83" s="3">
        <v>35905</v>
      </c>
      <c r="B83" s="4">
        <v>4</v>
      </c>
      <c r="C83" s="4">
        <v>1</v>
      </c>
      <c r="D83" t="s">
        <v>8</v>
      </c>
      <c r="E83">
        <v>4</v>
      </c>
      <c r="F83">
        <v>3800</v>
      </c>
      <c r="G83">
        <v>15200</v>
      </c>
      <c r="H83" t="s">
        <v>9</v>
      </c>
      <c r="J83" t="s">
        <v>113</v>
      </c>
      <c r="K83">
        <v>9</v>
      </c>
      <c r="L83" t="s">
        <v>104</v>
      </c>
      <c r="X83">
        <v>18</v>
      </c>
      <c r="Y83">
        <f t="shared" si="7"/>
        <v>0</v>
      </c>
      <c r="Z83" t="str">
        <f t="shared" si="8"/>
        <v>0000000000000001110</v>
      </c>
      <c r="AK83">
        <f t="shared" ca="1" si="4"/>
        <v>2</v>
      </c>
      <c r="AL83">
        <f t="shared" ca="1" si="5"/>
        <v>6.759999999999998</v>
      </c>
    </row>
    <row r="84" spans="1:39" x14ac:dyDescent="0.2">
      <c r="A84" s="3">
        <v>35905</v>
      </c>
      <c r="B84" s="4">
        <v>4</v>
      </c>
      <c r="C84" s="4">
        <v>1</v>
      </c>
      <c r="D84" t="s">
        <v>12</v>
      </c>
      <c r="E84">
        <v>4</v>
      </c>
      <c r="F84">
        <v>4000</v>
      </c>
      <c r="G84">
        <v>16000</v>
      </c>
      <c r="H84" t="s">
        <v>9</v>
      </c>
      <c r="J84" t="s">
        <v>114</v>
      </c>
      <c r="K84">
        <v>8</v>
      </c>
      <c r="L84" t="s">
        <v>104</v>
      </c>
      <c r="X84">
        <v>17</v>
      </c>
      <c r="Y84">
        <f t="shared" si="7"/>
        <v>0</v>
      </c>
      <c r="Z84" t="str">
        <f t="shared" si="8"/>
        <v>000000000000001110</v>
      </c>
      <c r="AK84">
        <f t="shared" ca="1" si="4"/>
        <v>8</v>
      </c>
      <c r="AL84">
        <f t="shared" ca="1" si="5"/>
        <v>11.560000000000002</v>
      </c>
    </row>
    <row r="85" spans="1:39" x14ac:dyDescent="0.2">
      <c r="A85" s="3">
        <v>35905</v>
      </c>
      <c r="B85" s="4">
        <v>4</v>
      </c>
      <c r="C85" s="4">
        <v>1</v>
      </c>
      <c r="D85" t="s">
        <v>17</v>
      </c>
      <c r="E85">
        <v>8</v>
      </c>
      <c r="F85">
        <v>1900</v>
      </c>
      <c r="G85">
        <v>15200</v>
      </c>
      <c r="H85" t="s">
        <v>9</v>
      </c>
      <c r="J85" t="s">
        <v>115</v>
      </c>
      <c r="K85">
        <v>4</v>
      </c>
      <c r="L85" t="s">
        <v>104</v>
      </c>
      <c r="X85">
        <v>16</v>
      </c>
      <c r="Y85">
        <f t="shared" si="7"/>
        <v>0</v>
      </c>
      <c r="Z85" t="str">
        <f t="shared" si="8"/>
        <v>00000000000001110</v>
      </c>
      <c r="AK85">
        <f t="shared" ca="1" si="4"/>
        <v>7</v>
      </c>
      <c r="AL85">
        <f t="shared" ca="1" si="5"/>
        <v>5.7600000000000016</v>
      </c>
    </row>
    <row r="86" spans="1:39" x14ac:dyDescent="0.2">
      <c r="A86" s="3">
        <v>35906</v>
      </c>
      <c r="B86" s="4">
        <v>4</v>
      </c>
      <c r="C86" s="4">
        <v>2</v>
      </c>
      <c r="D86" t="s">
        <v>8</v>
      </c>
      <c r="E86">
        <v>2</v>
      </c>
      <c r="F86">
        <v>3800</v>
      </c>
      <c r="G86">
        <v>7600</v>
      </c>
      <c r="H86" t="s">
        <v>9</v>
      </c>
      <c r="X86">
        <v>15</v>
      </c>
      <c r="Y86">
        <f t="shared" si="7"/>
        <v>0</v>
      </c>
      <c r="Z86" t="str">
        <f t="shared" si="8"/>
        <v>0000000000001110</v>
      </c>
      <c r="AK86">
        <f t="shared" ca="1" si="4"/>
        <v>9</v>
      </c>
      <c r="AL86">
        <f t="shared" ca="1" si="5"/>
        <v>19.360000000000003</v>
      </c>
    </row>
    <row r="87" spans="1:39" x14ac:dyDescent="0.2">
      <c r="A87" s="3">
        <v>35906</v>
      </c>
      <c r="B87" s="4">
        <v>4</v>
      </c>
      <c r="C87" s="4">
        <v>2</v>
      </c>
      <c r="D87" t="s">
        <v>12</v>
      </c>
      <c r="E87">
        <v>4</v>
      </c>
      <c r="F87">
        <v>4000</v>
      </c>
      <c r="G87">
        <v>16000</v>
      </c>
      <c r="H87" t="s">
        <v>9</v>
      </c>
      <c r="R87" t="s">
        <v>143</v>
      </c>
      <c r="X87">
        <v>14</v>
      </c>
      <c r="Y87">
        <f t="shared" si="7"/>
        <v>0</v>
      </c>
      <c r="Z87" t="str">
        <f t="shared" si="8"/>
        <v>000000000001110</v>
      </c>
      <c r="AK87">
        <f t="shared" ca="1" si="4"/>
        <v>5</v>
      </c>
      <c r="AL87">
        <f t="shared" ca="1" si="5"/>
        <v>0.16000000000000028</v>
      </c>
    </row>
    <row r="88" spans="1:39" x14ac:dyDescent="0.2">
      <c r="A88" s="3">
        <v>35908</v>
      </c>
      <c r="B88" s="4">
        <v>4</v>
      </c>
      <c r="C88" s="4">
        <v>4</v>
      </c>
      <c r="D88" t="s">
        <v>8</v>
      </c>
      <c r="E88">
        <v>2</v>
      </c>
      <c r="F88">
        <v>3800</v>
      </c>
      <c r="G88">
        <v>7600</v>
      </c>
      <c r="H88" t="s">
        <v>9</v>
      </c>
      <c r="K88" t="s">
        <v>126</v>
      </c>
      <c r="L88" t="s">
        <v>127</v>
      </c>
      <c r="M88" t="s">
        <v>128</v>
      </c>
      <c r="N88" t="s">
        <v>129</v>
      </c>
      <c r="O88" t="s">
        <v>130</v>
      </c>
      <c r="R88" t="s">
        <v>126</v>
      </c>
      <c r="S88" t="s">
        <v>127</v>
      </c>
      <c r="T88" t="s">
        <v>128</v>
      </c>
      <c r="U88" t="s">
        <v>129</v>
      </c>
      <c r="V88" t="s">
        <v>130</v>
      </c>
      <c r="X88">
        <v>13</v>
      </c>
      <c r="Y88">
        <f t="shared" si="7"/>
        <v>0</v>
      </c>
      <c r="Z88" t="str">
        <f t="shared" si="8"/>
        <v>00000000001110</v>
      </c>
      <c r="AK88">
        <f t="shared" ca="1" si="4"/>
        <v>9</v>
      </c>
      <c r="AL88">
        <f t="shared" ca="1" si="5"/>
        <v>19.360000000000003</v>
      </c>
    </row>
    <row r="89" spans="1:39" x14ac:dyDescent="0.2">
      <c r="A89" s="3">
        <v>35908</v>
      </c>
      <c r="B89" s="4">
        <v>4</v>
      </c>
      <c r="C89" s="4">
        <v>4</v>
      </c>
      <c r="D89" t="s">
        <v>12</v>
      </c>
      <c r="E89">
        <v>6</v>
      </c>
      <c r="F89">
        <v>4000</v>
      </c>
      <c r="G89">
        <v>24000</v>
      </c>
      <c r="H89" t="s">
        <v>9</v>
      </c>
      <c r="J89" t="s">
        <v>131</v>
      </c>
      <c r="K89">
        <v>2</v>
      </c>
      <c r="L89">
        <v>50</v>
      </c>
      <c r="M89">
        <v>3</v>
      </c>
      <c r="N89">
        <v>1095</v>
      </c>
      <c r="O89">
        <v>156</v>
      </c>
      <c r="Q89" t="s">
        <v>131</v>
      </c>
      <c r="R89">
        <f t="array" ref="R89:V100">100*K89:O100/K101:O101</f>
        <v>0.99502487562189057</v>
      </c>
      <c r="S89">
        <v>11.135857461024498</v>
      </c>
      <c r="T89">
        <v>5</v>
      </c>
      <c r="U89">
        <v>12.987783181117305</v>
      </c>
      <c r="V89">
        <v>0.98360655737704916</v>
      </c>
      <c r="X89">
        <v>12</v>
      </c>
      <c r="Y89">
        <f t="shared" si="7"/>
        <v>0</v>
      </c>
      <c r="Z89" t="str">
        <f t="shared" si="8"/>
        <v>0000000001110</v>
      </c>
      <c r="AK89">
        <f t="shared" ca="1" si="4"/>
        <v>4</v>
      </c>
      <c r="AL89">
        <f t="shared" ca="1" si="5"/>
        <v>0.3599999999999996</v>
      </c>
    </row>
    <row r="90" spans="1:39" x14ac:dyDescent="0.2">
      <c r="A90" s="3">
        <v>35909</v>
      </c>
      <c r="B90" s="4">
        <v>4</v>
      </c>
      <c r="C90" s="4">
        <v>5</v>
      </c>
      <c r="D90" t="s">
        <v>12</v>
      </c>
      <c r="E90">
        <v>6</v>
      </c>
      <c r="F90">
        <v>4000</v>
      </c>
      <c r="G90">
        <v>24000</v>
      </c>
      <c r="H90" t="s">
        <v>9</v>
      </c>
      <c r="J90" t="s">
        <v>132</v>
      </c>
      <c r="K90">
        <v>3</v>
      </c>
      <c r="L90">
        <v>90</v>
      </c>
      <c r="M90">
        <v>5</v>
      </c>
      <c r="N90">
        <v>526</v>
      </c>
      <c r="O90">
        <v>102</v>
      </c>
      <c r="Q90" t="s">
        <v>132</v>
      </c>
      <c r="R90">
        <v>1.4925373134328359</v>
      </c>
      <c r="S90">
        <v>20.044543429844097</v>
      </c>
      <c r="T90">
        <v>8.3333333333333339</v>
      </c>
      <c r="U90">
        <v>6.2388803226189067</v>
      </c>
      <c r="V90">
        <v>0.64312736443883989</v>
      </c>
      <c r="X90">
        <v>11</v>
      </c>
      <c r="Y90">
        <f t="shared" si="7"/>
        <v>0</v>
      </c>
      <c r="Z90" t="str">
        <f t="shared" si="8"/>
        <v>000000001110</v>
      </c>
      <c r="AK90">
        <f t="shared" ca="1" si="4"/>
        <v>2</v>
      </c>
      <c r="AL90">
        <f t="shared" ca="1" si="5"/>
        <v>6.759999999999998</v>
      </c>
    </row>
    <row r="91" spans="1:39" x14ac:dyDescent="0.2">
      <c r="A91" s="3">
        <v>35912</v>
      </c>
      <c r="B91" s="4">
        <v>4</v>
      </c>
      <c r="C91" s="4">
        <v>1</v>
      </c>
      <c r="D91" t="s">
        <v>14</v>
      </c>
      <c r="E91">
        <v>2</v>
      </c>
      <c r="F91">
        <v>2400</v>
      </c>
      <c r="G91">
        <v>4800</v>
      </c>
      <c r="H91" t="s">
        <v>9</v>
      </c>
      <c r="J91" t="s">
        <v>133</v>
      </c>
      <c r="K91">
        <v>9</v>
      </c>
      <c r="L91">
        <v>100</v>
      </c>
      <c r="M91">
        <v>6</v>
      </c>
      <c r="N91">
        <v>123</v>
      </c>
      <c r="O91">
        <v>145</v>
      </c>
      <c r="Q91" t="s">
        <v>133</v>
      </c>
      <c r="R91">
        <v>4.4776119402985071</v>
      </c>
      <c r="S91">
        <v>22.271714922048996</v>
      </c>
      <c r="T91">
        <v>10</v>
      </c>
      <c r="U91">
        <v>1.4589016723994781</v>
      </c>
      <c r="V91">
        <v>0.91424968474148804</v>
      </c>
      <c r="X91">
        <v>10</v>
      </c>
      <c r="Y91">
        <f t="shared" si="7"/>
        <v>0</v>
      </c>
      <c r="Z91" t="str">
        <f t="shared" si="8"/>
        <v>00000001110</v>
      </c>
      <c r="AK91">
        <f t="shared" ca="1" si="4"/>
        <v>7</v>
      </c>
      <c r="AL91">
        <f t="shared" ca="1" si="5"/>
        <v>5.7600000000000016</v>
      </c>
    </row>
    <row r="92" spans="1:39" x14ac:dyDescent="0.2">
      <c r="A92" s="3">
        <v>35912</v>
      </c>
      <c r="B92" s="4">
        <v>4</v>
      </c>
      <c r="C92" s="4">
        <v>1</v>
      </c>
      <c r="D92" t="s">
        <v>17</v>
      </c>
      <c r="E92">
        <v>8</v>
      </c>
      <c r="F92">
        <v>1900</v>
      </c>
      <c r="G92">
        <v>15200</v>
      </c>
      <c r="H92" t="s">
        <v>16</v>
      </c>
      <c r="J92" t="s">
        <v>134</v>
      </c>
      <c r="K92">
        <v>4</v>
      </c>
      <c r="L92">
        <v>120</v>
      </c>
      <c r="M92">
        <v>9</v>
      </c>
      <c r="N92">
        <v>45</v>
      </c>
      <c r="O92">
        <v>152</v>
      </c>
      <c r="Q92" t="s">
        <v>134</v>
      </c>
      <c r="R92">
        <v>1.9900497512437811</v>
      </c>
      <c r="S92">
        <v>26.726057906458799</v>
      </c>
      <c r="T92">
        <v>15</v>
      </c>
      <c r="U92">
        <v>0.53374451429249203</v>
      </c>
      <c r="V92">
        <v>0.95838587641866335</v>
      </c>
      <c r="X92">
        <v>9</v>
      </c>
      <c r="Y92">
        <f t="shared" si="7"/>
        <v>0</v>
      </c>
      <c r="Z92" t="str">
        <f t="shared" si="8"/>
        <v>0000001110</v>
      </c>
      <c r="AK92">
        <f ca="1">AVERAGE(AK67:AK91)</f>
        <v>4.5999999999999996</v>
      </c>
      <c r="AL92" t="s">
        <v>258</v>
      </c>
    </row>
    <row r="93" spans="1:39" x14ac:dyDescent="0.2">
      <c r="A93" s="3">
        <v>35912</v>
      </c>
      <c r="B93" s="4">
        <v>4</v>
      </c>
      <c r="C93" s="4">
        <v>1</v>
      </c>
      <c r="D93" t="s">
        <v>13</v>
      </c>
      <c r="E93">
        <v>6</v>
      </c>
      <c r="F93">
        <v>19000</v>
      </c>
      <c r="G93">
        <v>114000</v>
      </c>
      <c r="H93" t="s">
        <v>9</v>
      </c>
      <c r="J93" t="s">
        <v>135</v>
      </c>
      <c r="K93">
        <v>2</v>
      </c>
      <c r="L93">
        <v>30</v>
      </c>
      <c r="M93">
        <v>4</v>
      </c>
      <c r="N93">
        <v>16</v>
      </c>
      <c r="O93">
        <v>136</v>
      </c>
      <c r="Q93" t="s">
        <v>135</v>
      </c>
      <c r="R93">
        <v>0.99502487562189057</v>
      </c>
      <c r="S93">
        <v>6.6815144766146997</v>
      </c>
      <c r="T93">
        <v>6.666666666666667</v>
      </c>
      <c r="U93">
        <v>0.18977582730399714</v>
      </c>
      <c r="V93">
        <v>0.85750315258511978</v>
      </c>
      <c r="X93">
        <v>8</v>
      </c>
      <c r="Y93">
        <f t="shared" si="7"/>
        <v>0</v>
      </c>
      <c r="Z93" t="str">
        <f t="shared" si="8"/>
        <v>000001110</v>
      </c>
      <c r="AL93">
        <f ca="1">MIN(AL67:AL91)</f>
        <v>0.16000000000000028</v>
      </c>
      <c r="AM93" t="s">
        <v>262</v>
      </c>
    </row>
    <row r="94" spans="1:39" x14ac:dyDescent="0.2">
      <c r="A94" s="3">
        <v>35913</v>
      </c>
      <c r="B94" s="4">
        <v>4</v>
      </c>
      <c r="C94" s="4">
        <v>2</v>
      </c>
      <c r="D94" t="s">
        <v>12</v>
      </c>
      <c r="E94">
        <v>2</v>
      </c>
      <c r="F94">
        <v>4000</v>
      </c>
      <c r="G94">
        <v>8000</v>
      </c>
      <c r="H94" t="s">
        <v>9</v>
      </c>
      <c r="J94" t="s">
        <v>136</v>
      </c>
      <c r="K94">
        <v>5</v>
      </c>
      <c r="L94">
        <v>20</v>
      </c>
      <c r="M94">
        <v>7</v>
      </c>
      <c r="N94">
        <v>78</v>
      </c>
      <c r="O94">
        <v>211</v>
      </c>
      <c r="Q94" t="s">
        <v>136</v>
      </c>
      <c r="R94">
        <v>2.4875621890547261</v>
      </c>
      <c r="S94">
        <v>4.4543429844097995</v>
      </c>
      <c r="T94">
        <v>11.666666666666666</v>
      </c>
      <c r="U94">
        <v>0.92515715810698618</v>
      </c>
      <c r="V94">
        <v>1.330390920554855</v>
      </c>
      <c r="X94">
        <v>7</v>
      </c>
      <c r="Y94">
        <f t="shared" si="7"/>
        <v>0</v>
      </c>
      <c r="Z94" t="str">
        <f t="shared" si="8"/>
        <v>00001110</v>
      </c>
      <c r="AJ94" t="s">
        <v>265</v>
      </c>
      <c r="AL94">
        <f ca="1">MATCH(AL93,AL67:AL91,0)</f>
        <v>21</v>
      </c>
      <c r="AM94" t="s">
        <v>263</v>
      </c>
    </row>
    <row r="95" spans="1:39" x14ac:dyDescent="0.2">
      <c r="A95" s="3">
        <v>35913</v>
      </c>
      <c r="B95" s="4">
        <v>4</v>
      </c>
      <c r="C95" s="4">
        <v>2</v>
      </c>
      <c r="D95" t="s">
        <v>14</v>
      </c>
      <c r="E95">
        <v>4</v>
      </c>
      <c r="F95">
        <v>2400</v>
      </c>
      <c r="G95">
        <v>9600</v>
      </c>
      <c r="H95" t="s">
        <v>9</v>
      </c>
      <c r="J95" t="s">
        <v>137</v>
      </c>
      <c r="K95">
        <v>80</v>
      </c>
      <c r="L95">
        <v>7</v>
      </c>
      <c r="M95">
        <v>8</v>
      </c>
      <c r="N95">
        <v>46</v>
      </c>
      <c r="O95">
        <v>6784</v>
      </c>
      <c r="Q95" t="s">
        <v>137</v>
      </c>
      <c r="R95">
        <v>39.800995024875618</v>
      </c>
      <c r="S95">
        <v>1.5590200445434299</v>
      </c>
      <c r="T95">
        <v>13.333333333333334</v>
      </c>
      <c r="U95">
        <v>0.54560550349899184</v>
      </c>
      <c r="V95">
        <v>42.774274905422445</v>
      </c>
      <c r="X95">
        <v>6</v>
      </c>
      <c r="Y95">
        <f t="shared" si="7"/>
        <v>0</v>
      </c>
      <c r="Z95" t="str">
        <f t="shared" si="8"/>
        <v>0001110</v>
      </c>
      <c r="AJ95">
        <f t="array" aca="1" ref="AJ95" ca="1">INDEX(AK67:AK91,MATCH(MIN((AK67:AK91-AVERAGE(AK67:AK91))^2),(AK67:AK91-AVERAGE(AK67:AK91))^2,0))</f>
        <v>5</v>
      </c>
      <c r="AK95">
        <f ca="1">INDEX(AK67:AK91,AL94)</f>
        <v>5</v>
      </c>
      <c r="AL95" t="s">
        <v>257</v>
      </c>
    </row>
    <row r="96" spans="1:39" x14ac:dyDescent="0.2">
      <c r="A96" s="3">
        <v>35914</v>
      </c>
      <c r="B96" s="4">
        <v>4</v>
      </c>
      <c r="C96" s="4">
        <v>3</v>
      </c>
      <c r="D96" t="s">
        <v>10</v>
      </c>
      <c r="E96">
        <v>4</v>
      </c>
      <c r="F96">
        <v>10000</v>
      </c>
      <c r="G96">
        <v>40000</v>
      </c>
      <c r="H96" t="s">
        <v>9</v>
      </c>
      <c r="J96" t="s">
        <v>138</v>
      </c>
      <c r="K96">
        <v>40</v>
      </c>
      <c r="L96">
        <v>5</v>
      </c>
      <c r="M96">
        <v>1</v>
      </c>
      <c r="N96">
        <v>86</v>
      </c>
      <c r="O96">
        <v>3894</v>
      </c>
      <c r="Q96" t="s">
        <v>138</v>
      </c>
      <c r="R96">
        <v>19.900497512437809</v>
      </c>
      <c r="S96">
        <v>1.1135857461024499</v>
      </c>
      <c r="T96">
        <v>1.6666666666666667</v>
      </c>
      <c r="U96">
        <v>1.0200450717589846</v>
      </c>
      <c r="V96">
        <v>24.55233291298865</v>
      </c>
      <c r="X96">
        <v>5</v>
      </c>
      <c r="Y96">
        <f t="shared" si="7"/>
        <v>0</v>
      </c>
      <c r="Z96" t="str">
        <f t="shared" si="8"/>
        <v>001110</v>
      </c>
      <c r="AJ96">
        <f t="array" aca="1" ref="AJ96" ca="1">SUM(IF(AK67:AK91=INDEX(AK67:AK91,MATCH(MIN((AK67:AK91-AVERAGE(AK67:AK91))^2),(AK67:AK91-AVERAGE(AK67:AK91))^2,0)),1))</f>
        <v>1</v>
      </c>
      <c r="AK96">
        <f t="array" aca="1" ref="AK96" ca="1">SUM(IF(AK67:AK91=AK95,1))</f>
        <v>1</v>
      </c>
      <c r="AL96" t="s">
        <v>264</v>
      </c>
    </row>
    <row r="97" spans="1:26" x14ac:dyDescent="0.2">
      <c r="A97" s="3">
        <v>35919</v>
      </c>
      <c r="B97" s="4">
        <v>5</v>
      </c>
      <c r="C97" s="4">
        <v>1</v>
      </c>
      <c r="D97" t="s">
        <v>12</v>
      </c>
      <c r="E97">
        <v>8</v>
      </c>
      <c r="F97">
        <v>4000</v>
      </c>
      <c r="G97">
        <v>32000</v>
      </c>
      <c r="H97" t="s">
        <v>9</v>
      </c>
      <c r="J97" t="s">
        <v>139</v>
      </c>
      <c r="K97">
        <v>30</v>
      </c>
      <c r="L97">
        <v>2</v>
      </c>
      <c r="M97">
        <v>9</v>
      </c>
      <c r="N97">
        <v>105</v>
      </c>
      <c r="O97">
        <v>2586</v>
      </c>
      <c r="Q97" t="s">
        <v>139</v>
      </c>
      <c r="R97">
        <v>14.925373134328359</v>
      </c>
      <c r="S97">
        <v>0.44543429844097998</v>
      </c>
      <c r="T97">
        <v>15</v>
      </c>
      <c r="U97">
        <v>1.2454038666824814</v>
      </c>
      <c r="V97">
        <v>16.305170239596467</v>
      </c>
      <c r="X97">
        <v>4</v>
      </c>
      <c r="Y97">
        <f t="shared" si="7"/>
        <v>0</v>
      </c>
      <c r="Z97" t="str">
        <f t="shared" si="8"/>
        <v>01110</v>
      </c>
    </row>
    <row r="98" spans="1:26" x14ac:dyDescent="0.2">
      <c r="A98" s="3">
        <v>35920</v>
      </c>
      <c r="B98" s="4">
        <v>5</v>
      </c>
      <c r="C98" s="4">
        <v>2</v>
      </c>
      <c r="D98" t="s">
        <v>10</v>
      </c>
      <c r="E98">
        <v>4</v>
      </c>
      <c r="F98">
        <v>10000</v>
      </c>
      <c r="G98">
        <v>40000</v>
      </c>
      <c r="H98" t="s">
        <v>9</v>
      </c>
      <c r="J98" t="s">
        <v>140</v>
      </c>
      <c r="K98">
        <v>5</v>
      </c>
      <c r="L98">
        <v>9</v>
      </c>
      <c r="M98">
        <v>5</v>
      </c>
      <c r="N98">
        <v>258</v>
      </c>
      <c r="O98">
        <v>149</v>
      </c>
      <c r="Q98" t="s">
        <v>140</v>
      </c>
      <c r="R98">
        <v>2.4875621890547261</v>
      </c>
      <c r="S98">
        <v>2.0044543429844097</v>
      </c>
      <c r="T98">
        <v>8.3333333333333339</v>
      </c>
      <c r="U98">
        <v>3.0601352152769543</v>
      </c>
      <c r="V98">
        <v>0.93947036569987386</v>
      </c>
      <c r="X98">
        <v>3</v>
      </c>
      <c r="Y98">
        <f t="shared" si="7"/>
        <v>1</v>
      </c>
      <c r="Z98" t="str">
        <f t="shared" si="8"/>
        <v>1110</v>
      </c>
    </row>
    <row r="99" spans="1:26" x14ac:dyDescent="0.2">
      <c r="A99" s="3">
        <v>35921</v>
      </c>
      <c r="B99" s="4">
        <v>5</v>
      </c>
      <c r="C99" s="4">
        <v>3</v>
      </c>
      <c r="D99" t="s">
        <v>8</v>
      </c>
      <c r="E99">
        <v>6</v>
      </c>
      <c r="F99">
        <v>3800</v>
      </c>
      <c r="G99">
        <v>22800</v>
      </c>
      <c r="H99" t="s">
        <v>9</v>
      </c>
      <c r="J99" t="s">
        <v>141</v>
      </c>
      <c r="K99">
        <v>9</v>
      </c>
      <c r="L99">
        <v>1</v>
      </c>
      <c r="M99">
        <v>1</v>
      </c>
      <c r="N99">
        <v>2078</v>
      </c>
      <c r="O99">
        <v>103</v>
      </c>
      <c r="Q99" t="s">
        <v>141</v>
      </c>
      <c r="R99">
        <v>4.4776119402985071</v>
      </c>
      <c r="S99">
        <v>0.22271714922048999</v>
      </c>
      <c r="T99">
        <v>1.6666666666666667</v>
      </c>
      <c r="U99">
        <v>24.647135571106631</v>
      </c>
      <c r="V99">
        <v>0.64943253467843631</v>
      </c>
      <c r="X99">
        <v>2</v>
      </c>
      <c r="Y99">
        <f t="shared" si="7"/>
        <v>1</v>
      </c>
      <c r="Z99" t="str">
        <f t="shared" si="8"/>
        <v>110</v>
      </c>
    </row>
    <row r="100" spans="1:26" x14ac:dyDescent="0.2">
      <c r="A100" s="3">
        <v>35923</v>
      </c>
      <c r="B100" s="4">
        <v>5</v>
      </c>
      <c r="C100" s="4">
        <v>5</v>
      </c>
      <c r="D100" t="s">
        <v>8</v>
      </c>
      <c r="E100">
        <v>8</v>
      </c>
      <c r="F100">
        <v>3800</v>
      </c>
      <c r="G100">
        <v>30400</v>
      </c>
      <c r="H100" t="s">
        <v>9</v>
      </c>
      <c r="J100" t="s">
        <v>142</v>
      </c>
      <c r="K100">
        <v>12</v>
      </c>
      <c r="L100">
        <v>15</v>
      </c>
      <c r="M100">
        <v>2</v>
      </c>
      <c r="N100">
        <v>3975</v>
      </c>
      <c r="O100">
        <v>1442</v>
      </c>
      <c r="Q100" t="s">
        <v>142</v>
      </c>
      <c r="R100">
        <v>5.9701492537313436</v>
      </c>
      <c r="S100">
        <v>3.3407572383073498</v>
      </c>
      <c r="T100">
        <v>3.3333333333333335</v>
      </c>
      <c r="U100">
        <v>47.147432095836791</v>
      </c>
      <c r="V100">
        <v>9.0920554854981077</v>
      </c>
      <c r="X100">
        <v>1</v>
      </c>
      <c r="Y100">
        <f t="shared" si="7"/>
        <v>1</v>
      </c>
      <c r="Z100" t="str">
        <f>Y100&amp;Z101</f>
        <v>10</v>
      </c>
    </row>
    <row r="101" spans="1:26" x14ac:dyDescent="0.2">
      <c r="A101" s="3">
        <v>35923</v>
      </c>
      <c r="B101" s="4">
        <v>5</v>
      </c>
      <c r="C101" s="4">
        <v>5</v>
      </c>
      <c r="D101" t="s">
        <v>8</v>
      </c>
      <c r="E101">
        <v>10</v>
      </c>
      <c r="F101">
        <v>3800</v>
      </c>
      <c r="G101">
        <v>38000</v>
      </c>
      <c r="H101" t="s">
        <v>11</v>
      </c>
      <c r="J101" s="35" t="s">
        <v>99</v>
      </c>
      <c r="K101">
        <f>SUM(K89:K100)</f>
        <v>201</v>
      </c>
      <c r="L101">
        <f>SUM(L89:L100)</f>
        <v>449</v>
      </c>
      <c r="M101">
        <f>SUM(M89:M100)</f>
        <v>60</v>
      </c>
      <c r="N101">
        <f>SUM(N89:N100)</f>
        <v>8431</v>
      </c>
      <c r="O101">
        <f>SUM(O89:O100)</f>
        <v>15860</v>
      </c>
      <c r="Q101" s="35" t="s">
        <v>144</v>
      </c>
      <c r="R101">
        <f>SUM(R89:R100)</f>
        <v>99.999999999999986</v>
      </c>
      <c r="S101">
        <f>SUM(S89:S100)</f>
        <v>100</v>
      </c>
      <c r="T101">
        <f>SUM(T89:T100)</f>
        <v>100</v>
      </c>
      <c r="U101">
        <f>SUM(U89:U100)</f>
        <v>100</v>
      </c>
      <c r="V101">
        <f>SUM(V89:V100)</f>
        <v>100</v>
      </c>
      <c r="X101">
        <v>0</v>
      </c>
      <c r="Y101">
        <f t="shared" si="7"/>
        <v>0</v>
      </c>
      <c r="Z101">
        <f>Y101</f>
        <v>0</v>
      </c>
    </row>
    <row r="102" spans="1:26" x14ac:dyDescent="0.2">
      <c r="A102" s="3">
        <v>35923</v>
      </c>
      <c r="B102" s="4">
        <v>5</v>
      </c>
      <c r="C102" s="4">
        <v>5</v>
      </c>
      <c r="D102" t="s">
        <v>12</v>
      </c>
      <c r="E102">
        <v>6</v>
      </c>
      <c r="F102">
        <v>4000</v>
      </c>
      <c r="G102">
        <v>24000</v>
      </c>
      <c r="H102" t="s">
        <v>9</v>
      </c>
    </row>
    <row r="103" spans="1:26" x14ac:dyDescent="0.2">
      <c r="A103" s="3">
        <v>35923</v>
      </c>
      <c r="B103" s="4">
        <v>5</v>
      </c>
      <c r="C103" s="4">
        <v>5</v>
      </c>
      <c r="D103" t="s">
        <v>12</v>
      </c>
      <c r="E103">
        <v>10</v>
      </c>
      <c r="F103">
        <v>4000</v>
      </c>
      <c r="G103">
        <v>40000</v>
      </c>
      <c r="H103" t="s">
        <v>11</v>
      </c>
      <c r="R103" t="s">
        <v>126</v>
      </c>
      <c r="S103" t="s">
        <v>127</v>
      </c>
      <c r="T103" t="s">
        <v>128</v>
      </c>
      <c r="U103" t="s">
        <v>129</v>
      </c>
      <c r="V103" t="s">
        <v>130</v>
      </c>
    </row>
    <row r="104" spans="1:26" x14ac:dyDescent="0.2">
      <c r="A104" s="3">
        <v>35923</v>
      </c>
      <c r="B104" s="4">
        <v>5</v>
      </c>
      <c r="C104" s="4">
        <v>5</v>
      </c>
      <c r="D104" t="s">
        <v>17</v>
      </c>
      <c r="E104">
        <v>10</v>
      </c>
      <c r="F104">
        <v>1900</v>
      </c>
      <c r="G104">
        <v>19000</v>
      </c>
      <c r="H104" t="s">
        <v>9</v>
      </c>
      <c r="Q104" t="s">
        <v>126</v>
      </c>
      <c r="R104">
        <f t="array" ref="R104">SUM((R89:R100-R89:R100)^2)</f>
        <v>0</v>
      </c>
      <c r="S104">
        <f t="array" ref="S104">SUM((R89:R100-S89:S100)^2)</f>
        <v>3462.0345655760216</v>
      </c>
      <c r="T104">
        <f t="array" ref="T104">SUM((R89:R100-T89:T100)^2)</f>
        <v>1461.0578946065684</v>
      </c>
      <c r="U104">
        <f t="array" ref="U104">SUM((R89:R100-U89:U100)^2)</f>
        <v>4367.9817914964306</v>
      </c>
      <c r="V104">
        <f t="array" ref="V104">SUM((R89:R100-V89:V100)^2)</f>
        <v>75.023116392022459</v>
      </c>
    </row>
    <row r="105" spans="1:26" x14ac:dyDescent="0.2">
      <c r="A105" s="3">
        <v>35926</v>
      </c>
      <c r="B105" s="4">
        <v>5</v>
      </c>
      <c r="C105" s="4">
        <v>1</v>
      </c>
      <c r="D105" t="s">
        <v>8</v>
      </c>
      <c r="E105">
        <v>8</v>
      </c>
      <c r="F105">
        <v>3800</v>
      </c>
      <c r="G105">
        <v>30400</v>
      </c>
      <c r="H105" t="s">
        <v>9</v>
      </c>
      <c r="Q105" t="s">
        <v>127</v>
      </c>
      <c r="R105">
        <f t="array" ref="R105">SUM((S89:S100-R89:R100)^2)</f>
        <v>3462.0345655760216</v>
      </c>
      <c r="S105">
        <f t="array" ref="S105">SUM((S89:S100-S89:S100)^2)</f>
        <v>0</v>
      </c>
      <c r="T105">
        <f t="array" ref="T105">SUM((S89:S100-T89:T100)^2)</f>
        <v>907.82993250143727</v>
      </c>
      <c r="U105">
        <f t="array" ref="U105">SUM((S89:S100-U89:U100)^2)</f>
        <v>3886.2014118133793</v>
      </c>
      <c r="V105">
        <f t="array" ref="V105">SUM((S89:S100-V89:V100)^2)</f>
        <v>4177.2726059075812</v>
      </c>
    </row>
    <row r="106" spans="1:26" x14ac:dyDescent="0.2">
      <c r="A106" s="3">
        <v>35927</v>
      </c>
      <c r="B106" s="4">
        <v>5</v>
      </c>
      <c r="C106" s="4">
        <v>2</v>
      </c>
      <c r="D106" t="s">
        <v>12</v>
      </c>
      <c r="E106">
        <v>2</v>
      </c>
      <c r="F106">
        <v>4000</v>
      </c>
      <c r="G106">
        <v>8000</v>
      </c>
      <c r="H106" t="s">
        <v>9</v>
      </c>
      <c r="Q106" t="s">
        <v>128</v>
      </c>
      <c r="R106">
        <f t="array" ref="R106">SUM((T89:T100-R89:R100)^2)</f>
        <v>1461.0578946065684</v>
      </c>
      <c r="S106">
        <f t="array" ref="S106">SUM((T89:T100-S89:S100)^2)</f>
        <v>907.82993250143727</v>
      </c>
      <c r="T106">
        <f t="array" ref="T106">SUM((T89:T100-T89:T100)^2)</f>
        <v>0</v>
      </c>
      <c r="U106">
        <f t="array" ref="U106">SUM((T89:T100-U89:U100)^2)</f>
        <v>3336.461300607838</v>
      </c>
      <c r="V106">
        <f t="array" ref="V106">SUM((T89:T100-V89:V100)^2)</f>
        <v>1976.6665323825305</v>
      </c>
    </row>
    <row r="107" spans="1:26" x14ac:dyDescent="0.2">
      <c r="A107" s="3">
        <v>35927</v>
      </c>
      <c r="B107" s="4">
        <v>5</v>
      </c>
      <c r="C107" s="4">
        <v>2</v>
      </c>
      <c r="D107" t="s">
        <v>14</v>
      </c>
      <c r="E107">
        <v>4</v>
      </c>
      <c r="F107">
        <v>2400</v>
      </c>
      <c r="G107">
        <v>9600</v>
      </c>
      <c r="H107" t="s">
        <v>9</v>
      </c>
      <c r="Q107" t="s">
        <v>129</v>
      </c>
      <c r="R107">
        <f t="array" ref="R107">SUM((U89:U100-R89:R100)^2)</f>
        <v>4367.9817914964306</v>
      </c>
      <c r="S107">
        <f t="array" ref="S107">SUM((U89:U100-S89:S100)^2)</f>
        <v>3886.2014118133793</v>
      </c>
      <c r="T107">
        <f t="array" ref="T107">SUM((U89:U100-T89:T100)^2)</f>
        <v>3336.461300607838</v>
      </c>
      <c r="U107">
        <f t="array" ref="U107">SUM((U89:U100-U89:U100)^2)</f>
        <v>0</v>
      </c>
      <c r="V107">
        <f t="array" ref="V107">SUM((U89:U100-V89:V100)^2)</f>
        <v>4768.9240609298977</v>
      </c>
    </row>
    <row r="108" spans="1:26" x14ac:dyDescent="0.2">
      <c r="A108" s="3">
        <v>35929</v>
      </c>
      <c r="B108" s="4">
        <v>5</v>
      </c>
      <c r="C108" s="4">
        <v>4</v>
      </c>
      <c r="D108" t="s">
        <v>10</v>
      </c>
      <c r="E108">
        <v>2</v>
      </c>
      <c r="F108">
        <v>10000</v>
      </c>
      <c r="G108">
        <v>20000</v>
      </c>
      <c r="H108" t="s">
        <v>9</v>
      </c>
      <c r="Q108" t="s">
        <v>130</v>
      </c>
      <c r="R108">
        <f t="array" ref="R108">SUM((V89:V100-R89:R100)^2)</f>
        <v>75.023116392022459</v>
      </c>
      <c r="S108">
        <f t="array" ref="S108">SUM((V89:V100-S89:S100)^2)</f>
        <v>4177.2726059075812</v>
      </c>
      <c r="T108">
        <f t="array" ref="T108">SUM((V89:V100-T89:T100)^2)</f>
        <v>1976.6665323825305</v>
      </c>
      <c r="U108">
        <f t="array" ref="U108">SUM((V89:V100-U89:U100)^2)</f>
        <v>4768.9240609298977</v>
      </c>
      <c r="V108">
        <f t="array" ref="V108">SUM((V89:V100-V89:V100)^2)</f>
        <v>0</v>
      </c>
    </row>
    <row r="109" spans="1:26" x14ac:dyDescent="0.2">
      <c r="A109" s="3">
        <v>35929</v>
      </c>
      <c r="B109" s="4">
        <v>5</v>
      </c>
      <c r="C109" s="4">
        <v>4</v>
      </c>
      <c r="D109" t="s">
        <v>13</v>
      </c>
      <c r="E109">
        <v>4</v>
      </c>
      <c r="F109">
        <v>19000</v>
      </c>
      <c r="G109">
        <v>76000</v>
      </c>
      <c r="H109" t="s">
        <v>9</v>
      </c>
    </row>
    <row r="110" spans="1:26" x14ac:dyDescent="0.2">
      <c r="A110" s="3">
        <v>35929</v>
      </c>
      <c r="B110" s="4">
        <v>5</v>
      </c>
      <c r="C110" s="4">
        <v>4</v>
      </c>
      <c r="D110" t="s">
        <v>13</v>
      </c>
      <c r="E110">
        <v>10</v>
      </c>
      <c r="F110">
        <v>19000</v>
      </c>
      <c r="G110">
        <v>190000</v>
      </c>
      <c r="H110" t="s">
        <v>9</v>
      </c>
      <c r="R110" t="s">
        <v>126</v>
      </c>
      <c r="S110" t="s">
        <v>127</v>
      </c>
      <c r="T110" t="s">
        <v>128</v>
      </c>
      <c r="U110" t="s">
        <v>129</v>
      </c>
      <c r="V110" t="s">
        <v>130</v>
      </c>
      <c r="X110" t="s">
        <v>150</v>
      </c>
      <c r="Y110">
        <v>89</v>
      </c>
    </row>
    <row r="111" spans="1:26" x14ac:dyDescent="0.2">
      <c r="A111" s="3">
        <v>35930</v>
      </c>
      <c r="B111" s="4">
        <v>5</v>
      </c>
      <c r="C111" s="4">
        <v>5</v>
      </c>
      <c r="D111" t="s">
        <v>8</v>
      </c>
      <c r="E111">
        <v>10</v>
      </c>
      <c r="F111">
        <v>3800</v>
      </c>
      <c r="G111">
        <v>38000</v>
      </c>
      <c r="H111" t="s">
        <v>9</v>
      </c>
      <c r="R111" t="s">
        <v>145</v>
      </c>
      <c r="S111" t="s">
        <v>146</v>
      </c>
      <c r="T111" t="s">
        <v>147</v>
      </c>
      <c r="U111" t="s">
        <v>148</v>
      </c>
      <c r="V111" t="s">
        <v>149</v>
      </c>
      <c r="X111" t="s">
        <v>151</v>
      </c>
      <c r="Y111">
        <v>100</v>
      </c>
    </row>
    <row r="112" spans="1:26" x14ac:dyDescent="0.2">
      <c r="A112" s="3">
        <v>35930</v>
      </c>
      <c r="B112" s="4">
        <v>5</v>
      </c>
      <c r="C112" s="4">
        <v>5</v>
      </c>
      <c r="D112" t="s">
        <v>17</v>
      </c>
      <c r="E112">
        <v>2</v>
      </c>
      <c r="F112">
        <v>1900</v>
      </c>
      <c r="G112">
        <v>3800</v>
      </c>
      <c r="H112" t="s">
        <v>9</v>
      </c>
      <c r="P112" t="s">
        <v>126</v>
      </c>
      <c r="Q112" t="s">
        <v>145</v>
      </c>
      <c r="R112">
        <f t="array" aca="1" ref="R112" ca="1">SUM((INDIRECT($Q112&amp;$Y$110&amp;":"&amp;$Q112&amp;$Y$111)-INDIRECT(R$111&amp;$Y$110&amp;":"&amp;R$111&amp;$Y$111))^2)</f>
        <v>0</v>
      </c>
      <c r="S112">
        <f t="array" aca="1" ref="S112" ca="1">SUM((INDIRECT($Q112&amp;$Y$110&amp;":"&amp;$Q112&amp;$Y$111)-INDIRECT(S$111&amp;$Y$110&amp;":"&amp;S$111&amp;$Y$111))^2)</f>
        <v>3462.0345655760216</v>
      </c>
      <c r="T112">
        <f t="array" aca="1" ref="T112" ca="1">SUM((INDIRECT($Q112&amp;$Y$110&amp;":"&amp;$Q112&amp;$Y$111)-INDIRECT(T$111&amp;$Y$110&amp;":"&amp;T$111&amp;$Y$111))^2)</f>
        <v>1461.0578946065684</v>
      </c>
      <c r="U112">
        <f t="array" aca="1" ref="U112" ca="1">SUM((INDIRECT($Q112&amp;$Y$110&amp;":"&amp;$Q112&amp;$Y$111)-INDIRECT(U$111&amp;$Y$110&amp;":"&amp;U$111&amp;$Y$111))^2)</f>
        <v>4367.9817914964306</v>
      </c>
      <c r="V112">
        <f t="array" aca="1" ref="V112" ca="1">SUM((INDIRECT($Q112&amp;$Y$110&amp;":"&amp;$Q112&amp;$Y$111)-INDIRECT(V$111&amp;$Y$110&amp;":"&amp;V$111&amp;$Y$111))^2)</f>
        <v>75.023116392022459</v>
      </c>
    </row>
    <row r="113" spans="1:25" x14ac:dyDescent="0.2">
      <c r="A113" s="3">
        <v>35933</v>
      </c>
      <c r="B113" s="4">
        <v>5</v>
      </c>
      <c r="C113" s="4">
        <v>1</v>
      </c>
      <c r="D113" t="s">
        <v>8</v>
      </c>
      <c r="E113">
        <v>8</v>
      </c>
      <c r="F113">
        <v>3800</v>
      </c>
      <c r="G113">
        <v>30400</v>
      </c>
      <c r="H113" t="s">
        <v>15</v>
      </c>
      <c r="P113" t="s">
        <v>127</v>
      </c>
      <c r="Q113" t="s">
        <v>146</v>
      </c>
      <c r="R113">
        <f t="array" aca="1" ref="R113" ca="1">SUM((INDIRECT($Q113&amp;$Y$110&amp;":"&amp;$Q113&amp;$Y$111)-INDIRECT(R$111&amp;$Y$110&amp;":"&amp;R$111&amp;$Y$111))^2)</f>
        <v>3462.0345655760216</v>
      </c>
      <c r="S113">
        <f t="array" aca="1" ref="S113" ca="1">SUM((INDIRECT($Q113&amp;$Y$110&amp;":"&amp;$Q113&amp;$Y$111)-INDIRECT(S$111&amp;$Y$110&amp;":"&amp;S$111&amp;$Y$111))^2)</f>
        <v>0</v>
      </c>
      <c r="T113">
        <f t="array" aca="1" ref="T113" ca="1">SUM((INDIRECT($Q113&amp;$Y$110&amp;":"&amp;$Q113&amp;$Y$111)-INDIRECT(T$111&amp;$Y$110&amp;":"&amp;T$111&amp;$Y$111))^2)</f>
        <v>907.82993250143727</v>
      </c>
      <c r="U113">
        <f t="array" aca="1" ref="U113" ca="1">SUM((INDIRECT($Q113&amp;$Y$110&amp;":"&amp;$Q113&amp;$Y$111)-INDIRECT(U$111&amp;$Y$110&amp;":"&amp;U$111&amp;$Y$111))^2)</f>
        <v>3886.2014118133793</v>
      </c>
      <c r="V113">
        <f t="array" aca="1" ref="V113" ca="1">SUM((INDIRECT($Q113&amp;$Y$110&amp;":"&amp;$Q113&amp;$Y$111)-INDIRECT(V$111&amp;$Y$110&amp;":"&amp;V$111&amp;$Y$111))^2)</f>
        <v>4177.2726059075812</v>
      </c>
    </row>
    <row r="114" spans="1:25" x14ac:dyDescent="0.2">
      <c r="A114" s="3">
        <v>35933</v>
      </c>
      <c r="B114" s="4">
        <v>5</v>
      </c>
      <c r="C114" s="4">
        <v>1</v>
      </c>
      <c r="D114" t="s">
        <v>8</v>
      </c>
      <c r="E114">
        <v>6</v>
      </c>
      <c r="F114">
        <v>3800</v>
      </c>
      <c r="G114">
        <v>22800</v>
      </c>
      <c r="H114" t="s">
        <v>9</v>
      </c>
      <c r="P114" t="s">
        <v>128</v>
      </c>
      <c r="Q114" t="s">
        <v>147</v>
      </c>
      <c r="R114">
        <f t="array" aca="1" ref="R114" ca="1">SUM((INDIRECT($Q114&amp;$Y$110&amp;":"&amp;$Q114&amp;$Y$111)-INDIRECT(R$111&amp;$Y$110&amp;":"&amp;R$111&amp;$Y$111))^2)</f>
        <v>1461.0578946065684</v>
      </c>
      <c r="S114">
        <f t="array" aca="1" ref="S114" ca="1">SUM((INDIRECT($Q114&amp;$Y$110&amp;":"&amp;$Q114&amp;$Y$111)-INDIRECT(S$111&amp;$Y$110&amp;":"&amp;S$111&amp;$Y$111))^2)</f>
        <v>907.82993250143727</v>
      </c>
      <c r="T114">
        <f t="array" aca="1" ref="T114" ca="1">SUM((INDIRECT($Q114&amp;$Y$110&amp;":"&amp;$Q114&amp;$Y$111)-INDIRECT(T$111&amp;$Y$110&amp;":"&amp;T$111&amp;$Y$111))^2)</f>
        <v>0</v>
      </c>
      <c r="U114">
        <f t="array" aca="1" ref="U114" ca="1">SUM((INDIRECT($Q114&amp;$Y$110&amp;":"&amp;$Q114&amp;$Y$111)-INDIRECT(U$111&amp;$Y$110&amp;":"&amp;U$111&amp;$Y$111))^2)</f>
        <v>3336.461300607838</v>
      </c>
      <c r="V114">
        <f t="array" aca="1" ref="V114" ca="1">SUM((INDIRECT($Q114&amp;$Y$110&amp;":"&amp;$Q114&amp;$Y$111)-INDIRECT(V$111&amp;$Y$110&amp;":"&amp;V$111&amp;$Y$111))^2)</f>
        <v>1976.6665323825305</v>
      </c>
    </row>
    <row r="115" spans="1:25" x14ac:dyDescent="0.2">
      <c r="A115" s="3">
        <v>35933</v>
      </c>
      <c r="B115" s="4">
        <v>5</v>
      </c>
      <c r="C115" s="4">
        <v>1</v>
      </c>
      <c r="D115" t="s">
        <v>14</v>
      </c>
      <c r="E115">
        <v>4</v>
      </c>
      <c r="F115">
        <v>2400</v>
      </c>
      <c r="G115">
        <v>9600</v>
      </c>
      <c r="H115" t="s">
        <v>15</v>
      </c>
      <c r="P115" t="s">
        <v>129</v>
      </c>
      <c r="Q115" t="s">
        <v>148</v>
      </c>
      <c r="R115">
        <f t="array" aca="1" ref="R115" ca="1">SUM((INDIRECT($Q115&amp;$Y$110&amp;":"&amp;$Q115&amp;$Y$111)-INDIRECT(R$111&amp;$Y$110&amp;":"&amp;R$111&amp;$Y$111))^2)</f>
        <v>4367.9817914964306</v>
      </c>
      <c r="S115">
        <f t="array" aca="1" ref="S115" ca="1">SUM((INDIRECT($Q115&amp;$Y$110&amp;":"&amp;$Q115&amp;$Y$111)-INDIRECT(S$111&amp;$Y$110&amp;":"&amp;S$111&amp;$Y$111))^2)</f>
        <v>3886.2014118133793</v>
      </c>
      <c r="T115">
        <f t="array" aca="1" ref="T115" ca="1">SUM((INDIRECT($Q115&amp;$Y$110&amp;":"&amp;$Q115&amp;$Y$111)-INDIRECT(T$111&amp;$Y$110&amp;":"&amp;T$111&amp;$Y$111))^2)</f>
        <v>3336.461300607838</v>
      </c>
      <c r="U115">
        <f t="array" aca="1" ref="U115" ca="1">SUM((INDIRECT($Q115&amp;$Y$110&amp;":"&amp;$Q115&amp;$Y$111)-INDIRECT(U$111&amp;$Y$110&amp;":"&amp;U$111&amp;$Y$111))^2)</f>
        <v>0</v>
      </c>
      <c r="V115">
        <f t="array" aca="1" ref="V115" ca="1">SUM((INDIRECT($Q115&amp;$Y$110&amp;":"&amp;$Q115&amp;$Y$111)-INDIRECT(V$111&amp;$Y$110&amp;":"&amp;V$111&amp;$Y$111))^2)</f>
        <v>4768.9240609298977</v>
      </c>
    </row>
    <row r="116" spans="1:25" x14ac:dyDescent="0.2">
      <c r="A116" s="3">
        <v>35933</v>
      </c>
      <c r="B116" s="4">
        <v>5</v>
      </c>
      <c r="C116" s="4">
        <v>1</v>
      </c>
      <c r="D116" t="s">
        <v>13</v>
      </c>
      <c r="E116">
        <v>8</v>
      </c>
      <c r="F116">
        <v>19000</v>
      </c>
      <c r="G116">
        <v>152000</v>
      </c>
      <c r="H116" t="s">
        <v>15</v>
      </c>
      <c r="P116" t="s">
        <v>130</v>
      </c>
      <c r="Q116" t="s">
        <v>149</v>
      </c>
      <c r="R116">
        <f t="array" aca="1" ref="R116" ca="1">SUM((INDIRECT($Q116&amp;$Y$110&amp;":"&amp;$Q116&amp;$Y$111)-INDIRECT(R$111&amp;$Y$110&amp;":"&amp;R$111&amp;$Y$111))^2)</f>
        <v>75.023116392022459</v>
      </c>
      <c r="S116">
        <f t="array" aca="1" ref="S116" ca="1">SUM((INDIRECT($Q116&amp;$Y$110&amp;":"&amp;$Q116&amp;$Y$111)-INDIRECT(S$111&amp;$Y$110&amp;":"&amp;S$111&amp;$Y$111))^2)</f>
        <v>4177.2726059075812</v>
      </c>
      <c r="T116">
        <f t="array" aca="1" ref="T116" ca="1">SUM((INDIRECT($Q116&amp;$Y$110&amp;":"&amp;$Q116&amp;$Y$111)-INDIRECT(T$111&amp;$Y$110&amp;":"&amp;T$111&amp;$Y$111))^2)</f>
        <v>1976.6665323825305</v>
      </c>
      <c r="U116">
        <f t="array" aca="1" ref="U116" ca="1">SUM((INDIRECT($Q116&amp;$Y$110&amp;":"&amp;$Q116&amp;$Y$111)-INDIRECT(U$111&amp;$Y$110&amp;":"&amp;U$111&amp;$Y$111))^2)</f>
        <v>4768.9240609298977</v>
      </c>
      <c r="V116">
        <f t="array" aca="1" ref="V116" ca="1">SUM((INDIRECT($Q116&amp;$Y$110&amp;":"&amp;$Q116&amp;$Y$111)-INDIRECT(V$111&amp;$Y$110&amp;":"&amp;V$111&amp;$Y$111))^2)</f>
        <v>0</v>
      </c>
    </row>
    <row r="117" spans="1:25" x14ac:dyDescent="0.2">
      <c r="A117" s="3">
        <v>35933</v>
      </c>
      <c r="B117" s="4">
        <v>5</v>
      </c>
      <c r="C117" s="4">
        <v>1</v>
      </c>
      <c r="D117" t="s">
        <v>13</v>
      </c>
      <c r="E117">
        <v>8</v>
      </c>
      <c r="F117">
        <v>19000</v>
      </c>
      <c r="G117">
        <v>152000</v>
      </c>
      <c r="H117" t="s">
        <v>9</v>
      </c>
    </row>
    <row r="118" spans="1:25" x14ac:dyDescent="0.2">
      <c r="A118" s="3">
        <v>35934</v>
      </c>
      <c r="B118" s="4">
        <v>5</v>
      </c>
      <c r="C118" s="4">
        <v>2</v>
      </c>
      <c r="D118" t="s">
        <v>17</v>
      </c>
      <c r="E118">
        <v>4</v>
      </c>
      <c r="F118">
        <v>1900</v>
      </c>
      <c r="G118">
        <v>7600</v>
      </c>
      <c r="H118" t="s">
        <v>9</v>
      </c>
    </row>
    <row r="119" spans="1:25" x14ac:dyDescent="0.2">
      <c r="A119" s="3">
        <v>35935</v>
      </c>
      <c r="B119" s="4">
        <v>5</v>
      </c>
      <c r="C119" s="4">
        <v>3</v>
      </c>
      <c r="D119" t="s">
        <v>14</v>
      </c>
      <c r="E119">
        <v>4</v>
      </c>
      <c r="F119">
        <v>2400</v>
      </c>
      <c r="G119">
        <v>9600</v>
      </c>
      <c r="H119" t="s">
        <v>9</v>
      </c>
      <c r="J119" t="s">
        <v>199</v>
      </c>
      <c r="K119" t="s">
        <v>200</v>
      </c>
      <c r="L119" t="s">
        <v>201</v>
      </c>
      <c r="M119" t="s">
        <v>202</v>
      </c>
      <c r="N119" t="s">
        <v>203</v>
      </c>
      <c r="O119" t="s">
        <v>204</v>
      </c>
      <c r="R119" t="s">
        <v>200</v>
      </c>
      <c r="X119" t="s">
        <v>150</v>
      </c>
      <c r="Y119">
        <v>120</v>
      </c>
    </row>
    <row r="120" spans="1:25" x14ac:dyDescent="0.2">
      <c r="A120" s="3">
        <v>35935</v>
      </c>
      <c r="B120" s="4">
        <v>5</v>
      </c>
      <c r="C120" s="4">
        <v>3</v>
      </c>
      <c r="D120" t="s">
        <v>17</v>
      </c>
      <c r="E120">
        <v>4</v>
      </c>
      <c r="F120">
        <v>1900</v>
      </c>
      <c r="G120">
        <v>7600</v>
      </c>
      <c r="H120" t="s">
        <v>9</v>
      </c>
      <c r="J120">
        <v>1</v>
      </c>
      <c r="K120" t="str">
        <f t="array" ref="K120:N129" ca="1">IF(CEILING(3*RAND(),1)=1,"a",IF(CEILING(3*RAND(),1)=2,"b","c"))</f>
        <v>c</v>
      </c>
      <c r="L120" t="str">
        <f ca="1"/>
        <v>a</v>
      </c>
      <c r="M120" t="str">
        <f ca="1"/>
        <v>b</v>
      </c>
      <c r="N120" t="str">
        <f ca="1"/>
        <v>c</v>
      </c>
      <c r="O120" t="s">
        <v>206</v>
      </c>
      <c r="Q120" t="s">
        <v>205</v>
      </c>
      <c r="R120" t="s">
        <v>184</v>
      </c>
      <c r="S120" t="s">
        <v>185</v>
      </c>
      <c r="T120" t="s">
        <v>186</v>
      </c>
      <c r="X120" t="s">
        <v>151</v>
      </c>
      <c r="Y120">
        <v>129</v>
      </c>
    </row>
    <row r="121" spans="1:25" x14ac:dyDescent="0.2">
      <c r="A121" s="3">
        <v>35936</v>
      </c>
      <c r="B121" s="4">
        <v>5</v>
      </c>
      <c r="C121" s="4">
        <v>4</v>
      </c>
      <c r="D121" t="s">
        <v>8</v>
      </c>
      <c r="E121">
        <v>4</v>
      </c>
      <c r="F121">
        <v>3800</v>
      </c>
      <c r="G121">
        <v>15200</v>
      </c>
      <c r="H121" t="s">
        <v>9</v>
      </c>
      <c r="J121">
        <v>2</v>
      </c>
      <c r="K121" t="str">
        <f ca="1"/>
        <v>b</v>
      </c>
      <c r="L121" t="str">
        <f ca="1"/>
        <v>c</v>
      </c>
      <c r="M121" t="str">
        <f ca="1"/>
        <v>c</v>
      </c>
      <c r="N121" t="str">
        <f ca="1"/>
        <v>c</v>
      </c>
      <c r="O121" t="s">
        <v>207</v>
      </c>
      <c r="R121">
        <f t="array" aca="1" ref="R121" ca="1">SUM(IF(INDIRECT($Q120&amp;$Y$119&amp;":"&amp;$Q120&amp;$Y$120)=R120,1))</f>
        <v>4</v>
      </c>
      <c r="S121">
        <f t="array" aca="1" ref="S121" ca="1">SUM(IF(INDIRECT($Q120&amp;$Y$119&amp;":"&amp;$Q120&amp;$Y$120)=S120,1))</f>
        <v>1</v>
      </c>
      <c r="T121">
        <f t="array" aca="1" ref="T121" ca="1">SUM(IF(INDIRECT($Q120&amp;$Y$119&amp;":"&amp;$Q120&amp;$Y$120)=T120,1))</f>
        <v>5</v>
      </c>
    </row>
    <row r="122" spans="1:25" x14ac:dyDescent="0.2">
      <c r="A122" s="3">
        <v>35936</v>
      </c>
      <c r="B122" s="4">
        <v>5</v>
      </c>
      <c r="C122" s="4">
        <v>4</v>
      </c>
      <c r="D122" t="s">
        <v>14</v>
      </c>
      <c r="E122">
        <v>2</v>
      </c>
      <c r="F122">
        <v>2400</v>
      </c>
      <c r="G122">
        <v>4800</v>
      </c>
      <c r="H122" t="s">
        <v>9</v>
      </c>
      <c r="J122">
        <v>3</v>
      </c>
      <c r="K122" t="str">
        <f ca="1"/>
        <v>c</v>
      </c>
      <c r="L122" t="str">
        <f ca="1"/>
        <v>b</v>
      </c>
      <c r="M122" t="str">
        <f ca="1"/>
        <v>a</v>
      </c>
      <c r="N122" t="str">
        <f ca="1"/>
        <v>a</v>
      </c>
      <c r="O122" t="s">
        <v>208</v>
      </c>
    </row>
    <row r="123" spans="1:25" x14ac:dyDescent="0.2">
      <c r="A123" s="3">
        <v>35936</v>
      </c>
      <c r="B123" s="4">
        <v>5</v>
      </c>
      <c r="C123" s="4">
        <v>4</v>
      </c>
      <c r="D123" t="s">
        <v>10</v>
      </c>
      <c r="E123">
        <v>4</v>
      </c>
      <c r="F123">
        <v>10000</v>
      </c>
      <c r="G123">
        <v>40000</v>
      </c>
      <c r="H123" t="s">
        <v>9</v>
      </c>
      <c r="J123">
        <v>4</v>
      </c>
      <c r="K123" t="str">
        <f ca="1"/>
        <v>a</v>
      </c>
      <c r="L123" t="str">
        <f ca="1"/>
        <v>a</v>
      </c>
      <c r="M123" t="str">
        <f ca="1"/>
        <v>a</v>
      </c>
      <c r="N123" t="str">
        <f ca="1"/>
        <v>c</v>
      </c>
      <c r="O123" t="s">
        <v>209</v>
      </c>
      <c r="R123" t="s">
        <v>201</v>
      </c>
    </row>
    <row r="124" spans="1:25" x14ac:dyDescent="0.2">
      <c r="A124" s="3">
        <v>35937</v>
      </c>
      <c r="B124" s="4">
        <v>5</v>
      </c>
      <c r="C124" s="4">
        <v>5</v>
      </c>
      <c r="D124" t="s">
        <v>12</v>
      </c>
      <c r="E124">
        <v>2</v>
      </c>
      <c r="F124">
        <v>4000</v>
      </c>
      <c r="G124">
        <v>8000</v>
      </c>
      <c r="H124" t="s">
        <v>9</v>
      </c>
      <c r="J124">
        <v>5</v>
      </c>
      <c r="K124" t="str">
        <f ca="1"/>
        <v>c</v>
      </c>
      <c r="L124" t="str">
        <f ca="1"/>
        <v>c</v>
      </c>
      <c r="M124" t="str">
        <f ca="1"/>
        <v>b</v>
      </c>
      <c r="N124" t="str">
        <f ca="1"/>
        <v>c</v>
      </c>
      <c r="O124" t="s">
        <v>206</v>
      </c>
      <c r="Q124" t="s">
        <v>211</v>
      </c>
      <c r="R124" t="s">
        <v>184</v>
      </c>
      <c r="S124" t="s">
        <v>185</v>
      </c>
      <c r="T124" t="s">
        <v>186</v>
      </c>
    </row>
    <row r="125" spans="1:25" x14ac:dyDescent="0.2">
      <c r="A125" s="3">
        <v>35937</v>
      </c>
      <c r="B125" s="4">
        <v>5</v>
      </c>
      <c r="C125" s="4">
        <v>5</v>
      </c>
      <c r="D125" t="s">
        <v>12</v>
      </c>
      <c r="E125">
        <v>4</v>
      </c>
      <c r="F125">
        <v>4000</v>
      </c>
      <c r="G125">
        <v>16000</v>
      </c>
      <c r="H125" t="s">
        <v>9</v>
      </c>
      <c r="J125">
        <v>6</v>
      </c>
      <c r="K125" t="str">
        <f ca="1"/>
        <v>c</v>
      </c>
      <c r="L125" t="str">
        <f ca="1"/>
        <v>c</v>
      </c>
      <c r="M125" t="str">
        <f ca="1"/>
        <v>b</v>
      </c>
      <c r="N125" t="str">
        <f ca="1"/>
        <v>a</v>
      </c>
      <c r="O125" t="s">
        <v>207</v>
      </c>
      <c r="R125">
        <f t="array" aca="1" ref="R125" ca="1">SUM(IF(INDIRECT($Q124&amp;$Y$119&amp;":"&amp;$Q124&amp;$Y$120)=R124,1))</f>
        <v>4</v>
      </c>
      <c r="S125">
        <f t="array" aca="1" ref="S125" ca="1">SUM(IF(INDIRECT($Q124&amp;$Y$119&amp;":"&amp;$Q124&amp;$Y$120)=S124,1))</f>
        <v>2</v>
      </c>
      <c r="T125">
        <f t="array" aca="1" ref="T125" ca="1">SUM(IF(INDIRECT($Q124&amp;$Y$119&amp;":"&amp;$Q124&amp;$Y$120)=T124,1))</f>
        <v>4</v>
      </c>
    </row>
    <row r="126" spans="1:25" x14ac:dyDescent="0.2">
      <c r="A126" s="3">
        <v>35937</v>
      </c>
      <c r="B126" s="4">
        <v>5</v>
      </c>
      <c r="C126" s="4">
        <v>5</v>
      </c>
      <c r="D126" t="s">
        <v>13</v>
      </c>
      <c r="E126">
        <v>2</v>
      </c>
      <c r="F126">
        <v>19000</v>
      </c>
      <c r="G126">
        <v>38000</v>
      </c>
      <c r="H126" t="s">
        <v>9</v>
      </c>
      <c r="J126">
        <v>7</v>
      </c>
      <c r="K126" t="str">
        <f ca="1"/>
        <v>a</v>
      </c>
      <c r="L126" t="str">
        <f ca="1"/>
        <v>b</v>
      </c>
      <c r="M126" t="str">
        <f ca="1"/>
        <v>b</v>
      </c>
      <c r="N126" t="str">
        <f ca="1"/>
        <v>c</v>
      </c>
      <c r="O126" t="s">
        <v>208</v>
      </c>
    </row>
    <row r="127" spans="1:25" x14ac:dyDescent="0.2">
      <c r="A127" s="3">
        <v>35940</v>
      </c>
      <c r="B127" s="4">
        <v>5</v>
      </c>
      <c r="C127" s="4">
        <v>1</v>
      </c>
      <c r="D127" t="s">
        <v>8</v>
      </c>
      <c r="E127">
        <v>4</v>
      </c>
      <c r="F127">
        <v>3800</v>
      </c>
      <c r="G127">
        <v>15200</v>
      </c>
      <c r="H127" t="s">
        <v>11</v>
      </c>
      <c r="J127">
        <v>8</v>
      </c>
      <c r="K127" t="str">
        <f ca="1"/>
        <v>a</v>
      </c>
      <c r="L127" t="str">
        <f ca="1"/>
        <v>a</v>
      </c>
      <c r="M127" t="str">
        <f ca="1"/>
        <v>b</v>
      </c>
      <c r="N127" t="str">
        <f ca="1"/>
        <v>c</v>
      </c>
      <c r="O127" t="s">
        <v>209</v>
      </c>
      <c r="R127" t="s">
        <v>202</v>
      </c>
    </row>
    <row r="128" spans="1:25" x14ac:dyDescent="0.2">
      <c r="A128" s="3">
        <v>35940</v>
      </c>
      <c r="B128" s="4">
        <v>5</v>
      </c>
      <c r="C128" s="4">
        <v>1</v>
      </c>
      <c r="D128" t="s">
        <v>8</v>
      </c>
      <c r="E128">
        <v>6</v>
      </c>
      <c r="F128">
        <v>3800</v>
      </c>
      <c r="G128">
        <v>22800</v>
      </c>
      <c r="H128" t="s">
        <v>9</v>
      </c>
      <c r="J128">
        <v>9</v>
      </c>
      <c r="K128" t="str">
        <f ca="1"/>
        <v>a</v>
      </c>
      <c r="L128" t="str">
        <f ca="1"/>
        <v>c</v>
      </c>
      <c r="M128" t="str">
        <f ca="1"/>
        <v>c</v>
      </c>
      <c r="N128" t="str">
        <f ca="1"/>
        <v>c</v>
      </c>
      <c r="O128" t="s">
        <v>206</v>
      </c>
      <c r="Q128" t="s">
        <v>212</v>
      </c>
      <c r="R128" t="s">
        <v>184</v>
      </c>
      <c r="S128" t="s">
        <v>185</v>
      </c>
      <c r="T128" t="s">
        <v>186</v>
      </c>
    </row>
    <row r="129" spans="1:21" x14ac:dyDescent="0.2">
      <c r="A129" s="3">
        <v>35940</v>
      </c>
      <c r="B129" s="4">
        <v>5</v>
      </c>
      <c r="C129" s="4">
        <v>1</v>
      </c>
      <c r="D129" t="s">
        <v>12</v>
      </c>
      <c r="E129">
        <v>10</v>
      </c>
      <c r="F129">
        <v>4000</v>
      </c>
      <c r="G129">
        <v>40000</v>
      </c>
      <c r="H129" t="s">
        <v>11</v>
      </c>
      <c r="J129">
        <v>10</v>
      </c>
      <c r="K129" t="str">
        <f ca="1"/>
        <v>c</v>
      </c>
      <c r="L129" t="str">
        <f ca="1"/>
        <v>a</v>
      </c>
      <c r="M129" t="str">
        <f ca="1"/>
        <v>a</v>
      </c>
      <c r="N129" t="str">
        <f ca="1"/>
        <v>c</v>
      </c>
      <c r="O129" t="s">
        <v>207</v>
      </c>
      <c r="R129">
        <f t="array" aca="1" ref="R129" ca="1">SUM(IF(INDIRECT($Q128&amp;$Y$119&amp;":"&amp;$Q128&amp;$Y$120)=R128,1))</f>
        <v>3</v>
      </c>
      <c r="S129">
        <f t="array" aca="1" ref="S129" ca="1">SUM(IF(INDIRECT($Q128&amp;$Y$119&amp;":"&amp;$Q128&amp;$Y$120)=S128,1))</f>
        <v>5</v>
      </c>
      <c r="T129">
        <f t="array" aca="1" ref="T129" ca="1">SUM(IF(INDIRECT($Q128&amp;$Y$119&amp;":"&amp;$Q128&amp;$Y$120)=T128,1))</f>
        <v>2</v>
      </c>
    </row>
    <row r="130" spans="1:21" x14ac:dyDescent="0.2">
      <c r="A130" s="3">
        <v>35940</v>
      </c>
      <c r="B130" s="4">
        <v>5</v>
      </c>
      <c r="C130" s="4">
        <v>1</v>
      </c>
      <c r="D130" t="s">
        <v>14</v>
      </c>
      <c r="E130">
        <v>8</v>
      </c>
      <c r="F130">
        <v>2400</v>
      </c>
      <c r="G130">
        <v>19200</v>
      </c>
      <c r="H130" t="s">
        <v>9</v>
      </c>
    </row>
    <row r="131" spans="1:21" x14ac:dyDescent="0.2">
      <c r="A131" s="3">
        <v>35940</v>
      </c>
      <c r="B131" s="4">
        <v>5</v>
      </c>
      <c r="C131" s="4">
        <v>1</v>
      </c>
      <c r="D131" t="s">
        <v>14</v>
      </c>
      <c r="E131">
        <v>2</v>
      </c>
      <c r="F131">
        <v>2400</v>
      </c>
      <c r="G131">
        <v>4800</v>
      </c>
      <c r="H131" t="s">
        <v>9</v>
      </c>
      <c r="R131" t="s">
        <v>203</v>
      </c>
    </row>
    <row r="132" spans="1:21" x14ac:dyDescent="0.2">
      <c r="A132" s="3">
        <v>35943</v>
      </c>
      <c r="B132" s="4">
        <v>5</v>
      </c>
      <c r="C132" s="4">
        <v>4</v>
      </c>
      <c r="D132" t="s">
        <v>8</v>
      </c>
      <c r="E132">
        <v>4</v>
      </c>
      <c r="F132">
        <v>3800</v>
      </c>
      <c r="G132">
        <v>15200</v>
      </c>
      <c r="H132" t="s">
        <v>9</v>
      </c>
      <c r="Q132" t="s">
        <v>213</v>
      </c>
      <c r="R132" t="s">
        <v>184</v>
      </c>
      <c r="S132" t="s">
        <v>185</v>
      </c>
      <c r="T132" t="s">
        <v>186</v>
      </c>
    </row>
    <row r="133" spans="1:21" x14ac:dyDescent="0.2">
      <c r="A133" s="3">
        <v>35944</v>
      </c>
      <c r="B133" s="4">
        <v>5</v>
      </c>
      <c r="C133" s="4">
        <v>5</v>
      </c>
      <c r="D133" t="s">
        <v>8</v>
      </c>
      <c r="E133">
        <v>2</v>
      </c>
      <c r="F133">
        <v>3800</v>
      </c>
      <c r="G133">
        <v>7600</v>
      </c>
      <c r="H133" t="s">
        <v>9</v>
      </c>
      <c r="R133">
        <f t="array" aca="1" ref="R133" ca="1">SUM(IF(INDIRECT($Q132&amp;$Y$119&amp;":"&amp;$Q132&amp;$Y$120)=R132,1))</f>
        <v>2</v>
      </c>
      <c r="S133">
        <f t="array" aca="1" ref="S133" ca="1">SUM(IF(INDIRECT($Q132&amp;$Y$119&amp;":"&amp;$Q132&amp;$Y$120)=S132,1))</f>
        <v>0</v>
      </c>
      <c r="T133">
        <f t="array" aca="1" ref="T133" ca="1">SUM(IF(INDIRECT($Q132&amp;$Y$119&amp;":"&amp;$Q132&amp;$Y$120)=T132,1))</f>
        <v>8</v>
      </c>
    </row>
    <row r="134" spans="1:21" x14ac:dyDescent="0.2">
      <c r="A134" s="3">
        <v>35944</v>
      </c>
      <c r="B134" s="4">
        <v>5</v>
      </c>
      <c r="C134" s="4">
        <v>5</v>
      </c>
      <c r="D134" t="s">
        <v>12</v>
      </c>
      <c r="E134">
        <v>2</v>
      </c>
      <c r="F134">
        <v>4000</v>
      </c>
      <c r="G134">
        <v>8000</v>
      </c>
      <c r="H134" t="s">
        <v>9</v>
      </c>
    </row>
    <row r="135" spans="1:21" x14ac:dyDescent="0.2">
      <c r="A135" s="3">
        <v>35944</v>
      </c>
      <c r="B135" s="4">
        <v>5</v>
      </c>
      <c r="C135" s="4">
        <v>5</v>
      </c>
      <c r="D135" t="s">
        <v>17</v>
      </c>
      <c r="E135">
        <v>10</v>
      </c>
      <c r="F135">
        <v>1900</v>
      </c>
      <c r="G135">
        <v>19000</v>
      </c>
      <c r="H135" t="s">
        <v>9</v>
      </c>
      <c r="R135" t="s">
        <v>204</v>
      </c>
    </row>
    <row r="136" spans="1:21" x14ac:dyDescent="0.2">
      <c r="A136" s="3">
        <v>35949</v>
      </c>
      <c r="B136" s="4">
        <v>6</v>
      </c>
      <c r="C136" s="4">
        <v>3</v>
      </c>
      <c r="D136" t="s">
        <v>12</v>
      </c>
      <c r="E136">
        <v>6</v>
      </c>
      <c r="F136">
        <v>4000</v>
      </c>
      <c r="G136">
        <v>24000</v>
      </c>
      <c r="H136" t="s">
        <v>9</v>
      </c>
      <c r="Q136" t="s">
        <v>210</v>
      </c>
      <c r="R136" t="s">
        <v>206</v>
      </c>
      <c r="S136" t="s">
        <v>207</v>
      </c>
      <c r="T136" t="s">
        <v>208</v>
      </c>
      <c r="U136" t="s">
        <v>209</v>
      </c>
    </row>
    <row r="137" spans="1:21" x14ac:dyDescent="0.2">
      <c r="A137" s="3">
        <v>35951</v>
      </c>
      <c r="B137" s="4">
        <v>6</v>
      </c>
      <c r="C137" s="4">
        <v>5</v>
      </c>
      <c r="D137" t="s">
        <v>17</v>
      </c>
      <c r="E137">
        <v>10</v>
      </c>
      <c r="F137">
        <v>1900</v>
      </c>
      <c r="G137">
        <v>19000</v>
      </c>
      <c r="H137" t="s">
        <v>9</v>
      </c>
      <c r="R137">
        <f t="array" aca="1" ref="R137" ca="1">SUM(IF(INDIRECT($Q136&amp;$Y$119&amp;":"&amp;$Q136&amp;$Y$120)=R136,1))</f>
        <v>3</v>
      </c>
      <c r="S137">
        <f t="array" aca="1" ref="S137" ca="1">SUM(IF(INDIRECT($Q136&amp;$Y$119&amp;":"&amp;$Q136&amp;$Y$120)=S136,1))</f>
        <v>3</v>
      </c>
      <c r="T137">
        <f t="array" aca="1" ref="T137" ca="1">SUM(IF(INDIRECT($Q136&amp;$Y$119&amp;":"&amp;$Q136&amp;$Y$120)=T136,1))</f>
        <v>2</v>
      </c>
      <c r="U137">
        <f t="array" aca="1" ref="U137" ca="1">SUM(IF(INDIRECT($Q136&amp;$Y$119&amp;":"&amp;$Q136&amp;$Y$120)=U136,1))</f>
        <v>2</v>
      </c>
    </row>
    <row r="138" spans="1:21" x14ac:dyDescent="0.2">
      <c r="A138" s="3">
        <v>35951</v>
      </c>
      <c r="B138" s="4">
        <v>6</v>
      </c>
      <c r="C138" s="4">
        <v>5</v>
      </c>
      <c r="D138" t="s">
        <v>17</v>
      </c>
      <c r="E138">
        <v>4</v>
      </c>
      <c r="F138">
        <v>1900</v>
      </c>
      <c r="G138">
        <v>7600</v>
      </c>
      <c r="H138" t="s">
        <v>9</v>
      </c>
    </row>
    <row r="139" spans="1:21" x14ac:dyDescent="0.2">
      <c r="A139" s="3">
        <v>35954</v>
      </c>
      <c r="B139" s="4">
        <v>6</v>
      </c>
      <c r="C139" s="4">
        <v>1</v>
      </c>
      <c r="D139" t="s">
        <v>8</v>
      </c>
      <c r="E139">
        <v>6</v>
      </c>
      <c r="F139">
        <v>3800</v>
      </c>
      <c r="G139">
        <v>22800</v>
      </c>
      <c r="H139" t="s">
        <v>9</v>
      </c>
    </row>
    <row r="140" spans="1:21" x14ac:dyDescent="0.2">
      <c r="A140" s="3">
        <v>35954</v>
      </c>
      <c r="B140" s="4">
        <v>6</v>
      </c>
      <c r="C140" s="4">
        <v>1</v>
      </c>
      <c r="D140" t="s">
        <v>13</v>
      </c>
      <c r="E140">
        <v>4</v>
      </c>
      <c r="F140">
        <v>19000</v>
      </c>
      <c r="G140">
        <v>76000</v>
      </c>
      <c r="H140" t="s">
        <v>9</v>
      </c>
    </row>
    <row r="141" spans="1:21" x14ac:dyDescent="0.2">
      <c r="A141" s="3">
        <v>35954</v>
      </c>
      <c r="B141" s="4">
        <v>6</v>
      </c>
      <c r="C141" s="4">
        <v>1</v>
      </c>
      <c r="D141" t="s">
        <v>12</v>
      </c>
      <c r="E141">
        <v>10</v>
      </c>
      <c r="F141">
        <v>4000</v>
      </c>
      <c r="G141">
        <v>40000</v>
      </c>
      <c r="H141" t="s">
        <v>9</v>
      </c>
    </row>
    <row r="142" spans="1:21" x14ac:dyDescent="0.2">
      <c r="A142" s="3">
        <v>35954</v>
      </c>
      <c r="B142" s="4">
        <v>6</v>
      </c>
      <c r="C142" s="4">
        <v>1</v>
      </c>
      <c r="D142" t="s">
        <v>17</v>
      </c>
      <c r="E142">
        <v>10</v>
      </c>
      <c r="F142">
        <v>1900</v>
      </c>
      <c r="G142">
        <v>19000</v>
      </c>
      <c r="H142" t="s">
        <v>9</v>
      </c>
    </row>
    <row r="143" spans="1:21" x14ac:dyDescent="0.2">
      <c r="A143" s="3">
        <v>35956</v>
      </c>
      <c r="B143" s="4">
        <v>6</v>
      </c>
      <c r="C143" s="4">
        <v>3</v>
      </c>
      <c r="D143" t="s">
        <v>8</v>
      </c>
      <c r="E143">
        <v>4</v>
      </c>
      <c r="F143">
        <v>3800</v>
      </c>
      <c r="G143">
        <v>15200</v>
      </c>
      <c r="H143" t="s">
        <v>15</v>
      </c>
    </row>
    <row r="144" spans="1:21" x14ac:dyDescent="0.2">
      <c r="A144" s="3">
        <v>35956</v>
      </c>
      <c r="B144" s="4">
        <v>6</v>
      </c>
      <c r="C144" s="4">
        <v>3</v>
      </c>
      <c r="D144" t="s">
        <v>12</v>
      </c>
      <c r="E144">
        <v>8</v>
      </c>
      <c r="F144">
        <v>4000</v>
      </c>
      <c r="G144">
        <v>32000</v>
      </c>
      <c r="H144" t="s">
        <v>15</v>
      </c>
    </row>
    <row r="145" spans="1:19" x14ac:dyDescent="0.2">
      <c r="A145" s="3">
        <v>35956</v>
      </c>
      <c r="B145" s="4">
        <v>6</v>
      </c>
      <c r="C145" s="4">
        <v>3</v>
      </c>
      <c r="D145" t="s">
        <v>13</v>
      </c>
      <c r="E145">
        <v>10</v>
      </c>
      <c r="F145">
        <v>19000</v>
      </c>
      <c r="G145">
        <v>190000</v>
      </c>
      <c r="H145" t="s">
        <v>15</v>
      </c>
    </row>
    <row r="146" spans="1:19" x14ac:dyDescent="0.2">
      <c r="A146" s="3">
        <v>35961</v>
      </c>
      <c r="B146" s="4">
        <v>6</v>
      </c>
      <c r="C146" s="4">
        <v>1</v>
      </c>
      <c r="D146" t="s">
        <v>17</v>
      </c>
      <c r="E146">
        <v>10</v>
      </c>
      <c r="F146">
        <v>1900</v>
      </c>
      <c r="G146">
        <v>19000</v>
      </c>
      <c r="H146" t="s">
        <v>9</v>
      </c>
    </row>
    <row r="147" spans="1:19" x14ac:dyDescent="0.2">
      <c r="A147" s="3">
        <v>35962</v>
      </c>
      <c r="B147" s="4">
        <v>6</v>
      </c>
      <c r="C147" s="4">
        <v>2</v>
      </c>
      <c r="D147" t="s">
        <v>12</v>
      </c>
      <c r="E147">
        <v>2</v>
      </c>
      <c r="F147">
        <v>4000</v>
      </c>
      <c r="G147">
        <v>8000</v>
      </c>
      <c r="H147" t="s">
        <v>9</v>
      </c>
    </row>
    <row r="148" spans="1:19" x14ac:dyDescent="0.2">
      <c r="A148" s="3">
        <v>35963</v>
      </c>
      <c r="B148" s="4">
        <v>6</v>
      </c>
      <c r="C148" s="4">
        <v>3</v>
      </c>
      <c r="D148" t="s">
        <v>8</v>
      </c>
      <c r="E148">
        <v>10</v>
      </c>
      <c r="F148">
        <v>3800</v>
      </c>
      <c r="G148">
        <v>38000</v>
      </c>
      <c r="H148" t="s">
        <v>9</v>
      </c>
    </row>
    <row r="149" spans="1:19" x14ac:dyDescent="0.2">
      <c r="A149" s="3">
        <v>35964</v>
      </c>
      <c r="B149" s="4">
        <v>6</v>
      </c>
      <c r="C149" s="4">
        <v>4</v>
      </c>
      <c r="D149" t="s">
        <v>17</v>
      </c>
      <c r="E149">
        <v>8</v>
      </c>
      <c r="F149">
        <v>1900</v>
      </c>
      <c r="G149">
        <v>15200</v>
      </c>
      <c r="H149" t="s">
        <v>9</v>
      </c>
    </row>
    <row r="150" spans="1:19" x14ac:dyDescent="0.2">
      <c r="A150" s="3">
        <v>35965</v>
      </c>
      <c r="B150" s="4">
        <v>6</v>
      </c>
      <c r="C150" s="4">
        <v>5</v>
      </c>
      <c r="D150" t="s">
        <v>17</v>
      </c>
      <c r="E150">
        <v>2</v>
      </c>
      <c r="F150">
        <v>1900</v>
      </c>
      <c r="G150">
        <v>3800</v>
      </c>
      <c r="H150" t="s">
        <v>9</v>
      </c>
      <c r="L150" t="s">
        <v>237</v>
      </c>
    </row>
    <row r="151" spans="1:19" x14ac:dyDescent="0.2">
      <c r="A151" s="3">
        <v>35968</v>
      </c>
      <c r="B151" s="4">
        <v>6</v>
      </c>
      <c r="C151" s="4">
        <v>1</v>
      </c>
      <c r="D151" t="s">
        <v>8</v>
      </c>
      <c r="E151">
        <v>6</v>
      </c>
      <c r="F151">
        <v>3800</v>
      </c>
      <c r="G151">
        <v>22800</v>
      </c>
      <c r="H151" t="s">
        <v>9</v>
      </c>
      <c r="L151" s="45" t="s">
        <v>221</v>
      </c>
      <c r="M151" s="45" t="s">
        <v>222</v>
      </c>
      <c r="O151" s="45" t="s">
        <v>223</v>
      </c>
      <c r="Q151" s="45" t="s">
        <v>221</v>
      </c>
      <c r="R151" s="45" t="s">
        <v>222</v>
      </c>
    </row>
    <row r="152" spans="1:19" x14ac:dyDescent="0.2">
      <c r="A152" s="3">
        <v>35968</v>
      </c>
      <c r="B152" s="4">
        <v>6</v>
      </c>
      <c r="C152" s="4">
        <v>1</v>
      </c>
      <c r="D152" t="s">
        <v>17</v>
      </c>
      <c r="E152">
        <v>8</v>
      </c>
      <c r="F152">
        <v>1900</v>
      </c>
      <c r="G152">
        <v>15200</v>
      </c>
      <c r="H152" t="s">
        <v>9</v>
      </c>
      <c r="L152">
        <v>1</v>
      </c>
      <c r="Q152">
        <v>22</v>
      </c>
      <c r="R152">
        <v>2</v>
      </c>
      <c r="S152" t="s">
        <v>224</v>
      </c>
    </row>
    <row r="153" spans="1:19" x14ac:dyDescent="0.2">
      <c r="A153" s="3">
        <v>35968</v>
      </c>
      <c r="B153" s="4">
        <v>6</v>
      </c>
      <c r="C153" s="4">
        <v>1</v>
      </c>
      <c r="D153" t="s">
        <v>13</v>
      </c>
      <c r="E153">
        <v>6</v>
      </c>
      <c r="F153">
        <v>19000</v>
      </c>
      <c r="G153">
        <v>114000</v>
      </c>
      <c r="H153" t="s">
        <v>9</v>
      </c>
      <c r="L153">
        <v>1</v>
      </c>
      <c r="O153">
        <v>1</v>
      </c>
    </row>
    <row r="154" spans="1:19" x14ac:dyDescent="0.2">
      <c r="A154" s="3">
        <v>35969</v>
      </c>
      <c r="B154" s="4">
        <v>6</v>
      </c>
      <c r="C154" s="4">
        <v>2</v>
      </c>
      <c r="D154" t="s">
        <v>8</v>
      </c>
      <c r="E154">
        <v>10</v>
      </c>
      <c r="F154">
        <v>3800</v>
      </c>
      <c r="G154">
        <v>38000</v>
      </c>
      <c r="H154" t="s">
        <v>15</v>
      </c>
      <c r="L154">
        <v>1</v>
      </c>
      <c r="O154">
        <v>2</v>
      </c>
      <c r="Q154" t="s">
        <v>225</v>
      </c>
    </row>
    <row r="155" spans="1:19" x14ac:dyDescent="0.2">
      <c r="A155" s="3">
        <v>35970</v>
      </c>
      <c r="B155" s="4">
        <v>6</v>
      </c>
      <c r="C155" s="4">
        <v>3</v>
      </c>
      <c r="D155" t="s">
        <v>8</v>
      </c>
      <c r="E155">
        <v>8</v>
      </c>
      <c r="F155">
        <v>3800</v>
      </c>
      <c r="G155">
        <v>30400</v>
      </c>
      <c r="H155" t="s">
        <v>9</v>
      </c>
      <c r="M155">
        <v>1</v>
      </c>
      <c r="O155">
        <v>22</v>
      </c>
      <c r="Q155">
        <f t="array" ref="Q155">SUM(IF(L152:L170&amp;M152:M170=Q152&amp;R152,1))</f>
        <v>3</v>
      </c>
      <c r="R155" t="s">
        <v>227</v>
      </c>
    </row>
    <row r="156" spans="1:19" x14ac:dyDescent="0.2">
      <c r="A156" s="3">
        <v>35970</v>
      </c>
      <c r="B156" s="4">
        <v>6</v>
      </c>
      <c r="C156" s="4">
        <v>3</v>
      </c>
      <c r="D156" t="s">
        <v>12</v>
      </c>
      <c r="E156">
        <v>6</v>
      </c>
      <c r="F156">
        <v>4000</v>
      </c>
      <c r="G156">
        <v>24000</v>
      </c>
      <c r="H156" t="s">
        <v>9</v>
      </c>
      <c r="M156">
        <v>1</v>
      </c>
      <c r="O156" t="s">
        <v>184</v>
      </c>
    </row>
    <row r="157" spans="1:19" x14ac:dyDescent="0.2">
      <c r="A157" s="3">
        <v>35970</v>
      </c>
      <c r="B157" s="4">
        <v>6</v>
      </c>
      <c r="C157" s="4">
        <v>3</v>
      </c>
      <c r="D157" t="s">
        <v>17</v>
      </c>
      <c r="E157">
        <v>10</v>
      </c>
      <c r="F157">
        <v>1900</v>
      </c>
      <c r="G157">
        <v>19000</v>
      </c>
      <c r="H157" t="s">
        <v>9</v>
      </c>
      <c r="M157">
        <v>1</v>
      </c>
      <c r="O157" t="s">
        <v>226</v>
      </c>
      <c r="Q157" t="s">
        <v>228</v>
      </c>
    </row>
    <row r="158" spans="1:19" x14ac:dyDescent="0.2">
      <c r="A158" s="3">
        <v>35971</v>
      </c>
      <c r="B158" s="4">
        <v>6</v>
      </c>
      <c r="C158" s="4">
        <v>4</v>
      </c>
      <c r="D158" t="s">
        <v>8</v>
      </c>
      <c r="E158">
        <v>6</v>
      </c>
      <c r="F158">
        <v>3800</v>
      </c>
      <c r="G158">
        <v>22800</v>
      </c>
      <c r="H158" t="s">
        <v>15</v>
      </c>
      <c r="M158">
        <v>1</v>
      </c>
      <c r="Q158">
        <f t="array" ref="Q158">SUM(IF(L152:L170=Q152,IF(M152:M170=R152,1)))</f>
        <v>1</v>
      </c>
      <c r="R158" t="s">
        <v>227</v>
      </c>
    </row>
    <row r="159" spans="1:19" x14ac:dyDescent="0.2">
      <c r="A159" s="3">
        <v>35972</v>
      </c>
      <c r="B159" s="4">
        <v>6</v>
      </c>
      <c r="C159" s="4">
        <v>5</v>
      </c>
      <c r="D159" t="s">
        <v>10</v>
      </c>
      <c r="E159">
        <v>8</v>
      </c>
      <c r="F159">
        <v>10000</v>
      </c>
      <c r="G159">
        <v>80000</v>
      </c>
      <c r="H159" t="s">
        <v>9</v>
      </c>
      <c r="L159">
        <v>1</v>
      </c>
      <c r="M159">
        <v>1</v>
      </c>
    </row>
    <row r="160" spans="1:19" x14ac:dyDescent="0.2">
      <c r="A160" s="3">
        <v>35972</v>
      </c>
      <c r="B160" s="4">
        <v>6</v>
      </c>
      <c r="C160" s="4">
        <v>5</v>
      </c>
      <c r="D160" t="s">
        <v>13</v>
      </c>
      <c r="E160">
        <v>4</v>
      </c>
      <c r="F160">
        <v>19000</v>
      </c>
      <c r="G160">
        <v>76000</v>
      </c>
      <c r="H160" t="s">
        <v>9</v>
      </c>
      <c r="L160">
        <v>1</v>
      </c>
      <c r="M160">
        <v>1</v>
      </c>
      <c r="Q160" s="46" t="s">
        <v>229</v>
      </c>
    </row>
    <row r="161" spans="1:23" x14ac:dyDescent="0.2">
      <c r="A161" s="3">
        <v>35975</v>
      </c>
      <c r="B161" s="4">
        <v>6</v>
      </c>
      <c r="C161" s="4">
        <v>1</v>
      </c>
      <c r="D161" t="s">
        <v>8</v>
      </c>
      <c r="E161">
        <v>8</v>
      </c>
      <c r="F161">
        <v>3800</v>
      </c>
      <c r="G161">
        <v>30400</v>
      </c>
      <c r="H161" t="s">
        <v>9</v>
      </c>
      <c r="L161">
        <v>22</v>
      </c>
      <c r="M161">
        <v>2</v>
      </c>
      <c r="Q161" s="4" t="s">
        <v>230</v>
      </c>
      <c r="R161" s="4"/>
    </row>
    <row r="162" spans="1:23" x14ac:dyDescent="0.2">
      <c r="A162" s="3">
        <v>35975</v>
      </c>
      <c r="B162" s="4">
        <v>6</v>
      </c>
      <c r="C162" s="4">
        <v>1</v>
      </c>
      <c r="D162" t="s">
        <v>12</v>
      </c>
      <c r="E162">
        <v>4</v>
      </c>
      <c r="F162">
        <v>4000</v>
      </c>
      <c r="G162">
        <v>16000</v>
      </c>
      <c r="H162" t="s">
        <v>9</v>
      </c>
      <c r="L162">
        <v>2</v>
      </c>
      <c r="M162">
        <v>22</v>
      </c>
    </row>
    <row r="163" spans="1:23" x14ac:dyDescent="0.2">
      <c r="A163" s="3">
        <v>35975</v>
      </c>
      <c r="B163" s="4">
        <v>6</v>
      </c>
      <c r="C163" s="4">
        <v>1</v>
      </c>
      <c r="D163" t="s">
        <v>17</v>
      </c>
      <c r="E163">
        <v>8</v>
      </c>
      <c r="F163">
        <v>1900</v>
      </c>
      <c r="G163">
        <v>15200</v>
      </c>
      <c r="H163" t="s">
        <v>9</v>
      </c>
      <c r="L163">
        <v>2</v>
      </c>
      <c r="M163">
        <v>22</v>
      </c>
      <c r="R163" t="s">
        <v>231</v>
      </c>
      <c r="S163" t="s">
        <v>232</v>
      </c>
      <c r="T163" t="s">
        <v>233</v>
      </c>
      <c r="V163" s="4" t="s">
        <v>233</v>
      </c>
      <c r="W163" s="4" t="s">
        <v>234</v>
      </c>
    </row>
    <row r="164" spans="1:23" x14ac:dyDescent="0.2">
      <c r="A164" s="3">
        <v>35976</v>
      </c>
      <c r="B164" s="4">
        <v>6</v>
      </c>
      <c r="C164" s="4">
        <v>2</v>
      </c>
      <c r="D164" t="s">
        <v>8</v>
      </c>
      <c r="E164">
        <v>10</v>
      </c>
      <c r="F164">
        <v>3800</v>
      </c>
      <c r="G164">
        <v>38000</v>
      </c>
      <c r="H164" t="s">
        <v>9</v>
      </c>
      <c r="L164" t="s">
        <v>184</v>
      </c>
      <c r="M164" t="s">
        <v>226</v>
      </c>
      <c r="Q164" t="s">
        <v>234</v>
      </c>
      <c r="R164">
        <v>1</v>
      </c>
      <c r="S164">
        <v>2</v>
      </c>
      <c r="T164">
        <v>3</v>
      </c>
      <c r="V164" s="4">
        <f>INDEX(Q163:T166, MATCH(W163,Q163:Q166,), MATCH(V163,Q163:T163,))</f>
        <v>3</v>
      </c>
    </row>
    <row r="165" spans="1:23" x14ac:dyDescent="0.2">
      <c r="A165" s="3">
        <v>35976</v>
      </c>
      <c r="B165" s="4">
        <v>6</v>
      </c>
      <c r="C165" s="4">
        <v>2</v>
      </c>
      <c r="D165" t="s">
        <v>12</v>
      </c>
      <c r="E165">
        <v>6</v>
      </c>
      <c r="F165">
        <v>4000</v>
      </c>
      <c r="G165">
        <v>24000</v>
      </c>
      <c r="H165" t="s">
        <v>9</v>
      </c>
      <c r="L165" t="s">
        <v>184</v>
      </c>
      <c r="M165" t="s">
        <v>226</v>
      </c>
      <c r="Q165" t="s">
        <v>235</v>
      </c>
      <c r="R165">
        <v>4</v>
      </c>
      <c r="S165">
        <v>5</v>
      </c>
      <c r="T165">
        <v>6</v>
      </c>
    </row>
    <row r="166" spans="1:23" x14ac:dyDescent="0.2">
      <c r="A166" s="3">
        <v>35976</v>
      </c>
      <c r="B166" s="4">
        <v>6</v>
      </c>
      <c r="C166" s="4">
        <v>2</v>
      </c>
      <c r="D166" t="s">
        <v>17</v>
      </c>
      <c r="E166">
        <v>8</v>
      </c>
      <c r="F166">
        <v>1900</v>
      </c>
      <c r="G166">
        <v>15200</v>
      </c>
      <c r="H166" t="s">
        <v>9</v>
      </c>
      <c r="L166" t="s">
        <v>184</v>
      </c>
      <c r="M166" t="s">
        <v>226</v>
      </c>
      <c r="Q166" t="s">
        <v>236</v>
      </c>
      <c r="R166">
        <v>7</v>
      </c>
      <c r="S166">
        <v>8</v>
      </c>
      <c r="T166">
        <v>9</v>
      </c>
    </row>
    <row r="167" spans="1:23" x14ac:dyDescent="0.2">
      <c r="A167" s="3"/>
      <c r="L167" t="s">
        <v>184</v>
      </c>
      <c r="M167" t="s">
        <v>226</v>
      </c>
    </row>
    <row r="168" spans="1:23" x14ac:dyDescent="0.2">
      <c r="G168">
        <f>SUM(Tržba)</f>
        <v>5768000</v>
      </c>
      <c r="L168" t="s">
        <v>184</v>
      </c>
      <c r="M168" t="s">
        <v>226</v>
      </c>
    </row>
    <row r="169" spans="1:23" x14ac:dyDescent="0.2">
      <c r="G169">
        <f t="array" ref="G169">SUM(Počet*Cena)</f>
        <v>5768000</v>
      </c>
      <c r="I169" s="5" t="s">
        <v>18</v>
      </c>
      <c r="J169" s="6" t="s">
        <v>5</v>
      </c>
      <c r="L169" t="s">
        <v>226</v>
      </c>
      <c r="M169" t="s">
        <v>184</v>
      </c>
    </row>
    <row r="170" spans="1:23" x14ac:dyDescent="0.2">
      <c r="G170">
        <f t="array" ref="G170">SUM(IF(Tržba&gt;AVERAGE(Tržba),Tržba))</f>
        <v>3826000</v>
      </c>
      <c r="I170" s="8" t="s">
        <v>8</v>
      </c>
      <c r="J170" s="9">
        <v>3800</v>
      </c>
      <c r="L170" t="s">
        <v>226</v>
      </c>
      <c r="M170" t="s">
        <v>184</v>
      </c>
    </row>
    <row r="171" spans="1:23" x14ac:dyDescent="0.2">
      <c r="D171" t="s">
        <v>17</v>
      </c>
      <c r="F171">
        <f>SUMIF($I$170:$I$175,D171,$J$170:$J$175)</f>
        <v>1900</v>
      </c>
      <c r="I171" s="8" t="s">
        <v>12</v>
      </c>
      <c r="J171" s="9">
        <v>4000</v>
      </c>
      <c r="L171" s="10"/>
      <c r="M171" s="10"/>
    </row>
    <row r="172" spans="1:23" x14ac:dyDescent="0.2">
      <c r="D172" t="s">
        <v>17</v>
      </c>
      <c r="F172">
        <f t="array" ref="F172">SUM(IF(D172=$I$170:$I$175,$J$170:$J$175))</f>
        <v>1900</v>
      </c>
      <c r="I172" s="8" t="s">
        <v>14</v>
      </c>
      <c r="J172" s="9">
        <v>2400</v>
      </c>
      <c r="L172" s="10"/>
      <c r="M172" s="10"/>
    </row>
    <row r="173" spans="1:23" x14ac:dyDescent="0.2">
      <c r="D173" t="s">
        <v>17</v>
      </c>
      <c r="F173">
        <f t="array" ref="F173">SUM(IF($I$170:$I$175=D173,$J$170:$J$175))</f>
        <v>1900</v>
      </c>
      <c r="I173" s="8" t="s">
        <v>10</v>
      </c>
      <c r="J173" s="9">
        <v>10000</v>
      </c>
      <c r="L173" s="10"/>
      <c r="M173" s="10"/>
    </row>
    <row r="174" spans="1:23" x14ac:dyDescent="0.2">
      <c r="D174" t="s">
        <v>17</v>
      </c>
      <c r="F174">
        <f>VLOOKUP(D174,I170:J175,2)</f>
        <v>1900</v>
      </c>
      <c r="I174" s="8" t="s">
        <v>17</v>
      </c>
      <c r="J174" s="9">
        <v>1900</v>
      </c>
      <c r="L174" s="10"/>
      <c r="M174" s="10"/>
    </row>
    <row r="175" spans="1:23" x14ac:dyDescent="0.2">
      <c r="I175" s="11" t="s">
        <v>13</v>
      </c>
      <c r="J175" s="12">
        <v>19000</v>
      </c>
      <c r="L175" s="10"/>
      <c r="M175" s="10"/>
    </row>
    <row r="176" spans="1:23" x14ac:dyDescent="0.2">
      <c r="L176" s="10"/>
      <c r="M176" s="10"/>
    </row>
  </sheetData>
  <phoneticPr fontId="6" type="noConversion"/>
  <conditionalFormatting sqref="R104:V108">
    <cfRule type="expression" dxfId="2" priority="2" stopIfTrue="1">
      <formula>R104=MIN(IF($R$104:$V$108&gt;0,$R$104:$V$108))</formula>
    </cfRule>
  </conditionalFormatting>
  <conditionalFormatting sqref="R112:V116">
    <cfRule type="expression" dxfId="1" priority="3" stopIfTrue="1">
      <formula>R112=MIN(IF($R$112:$V$116&gt;0,$R$112:$V$116))</formula>
    </cfRule>
  </conditionalFormatting>
  <conditionalFormatting sqref="AK67:AK91">
    <cfRule type="expression" dxfId="0" priority="1">
      <formula>AK67=$AK$95</formula>
    </cfRule>
  </conditionalFormatting>
  <dataValidations count="7">
    <dataValidation type="list" allowBlank="1" showInputMessage="1" showErrorMessage="1" sqref="J59">
      <formula1>"1,2,3,4,5,6"</formula1>
    </dataValidation>
    <dataValidation type="list" allowBlank="1" showInputMessage="1" showErrorMessage="1" sqref="K59">
      <formula1>"1,2,3,4,5"</formula1>
    </dataValidation>
    <dataValidation type="list" allowBlank="1" showInputMessage="1" showErrorMessage="1" sqref="L59">
      <formula1>$I$170:$I$175</formula1>
    </dataValidation>
    <dataValidation type="list" allowBlank="1" showInputMessage="1" showErrorMessage="1" sqref="M59">
      <formula1>"2,4,6,8,10"</formula1>
    </dataValidation>
    <dataValidation type="list" allowBlank="1" showInputMessage="1" showErrorMessage="1" sqref="P59">
      <formula1>"B,F,J,P"</formula1>
    </dataValidation>
    <dataValidation type="list" allowBlank="1" showInputMessage="1" showErrorMessage="1" sqref="J2 J20 J11">
      <formula1>"B,F,J,P,vše"</formula1>
    </dataValidation>
    <dataValidation type="list" allowBlank="1" showInputMessage="1" showErrorMessage="1" sqref="Q152:R152">
      <formula1>$O$152:$O$157</formula1>
    </dataValidation>
  </dataValidations>
  <hyperlinks>
    <hyperlink ref="Q160" r:id="rId1"/>
  </hyperlinks>
  <pageMargins left="0.78740157499999996" right="0.78740157499999996" top="0.984251969" bottom="0.984251969" header="0.4921259845" footer="0.4921259845"/>
  <pageSetup paperSize="9"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sqref="A1:E1"/>
    </sheetView>
  </sheetViews>
  <sheetFormatPr defaultRowHeight="12.75" x14ac:dyDescent="0.2"/>
  <cols>
    <col min="1" max="1" width="11" bestFit="1" customWidth="1"/>
    <col min="2" max="4" width="11.5703125" bestFit="1" customWidth="1"/>
    <col min="5" max="5" width="9" bestFit="1" customWidth="1"/>
  </cols>
  <sheetData>
    <row r="1" spans="1:5" x14ac:dyDescent="0.2">
      <c r="A1" s="48" t="s">
        <v>33</v>
      </c>
      <c r="B1" s="48"/>
      <c r="C1" s="48"/>
      <c r="D1" s="48"/>
      <c r="E1" s="48"/>
    </row>
    <row r="2" spans="1:5" x14ac:dyDescent="0.2">
      <c r="A2" s="15"/>
      <c r="B2" s="15" t="s">
        <v>34</v>
      </c>
      <c r="C2" s="15" t="s">
        <v>35</v>
      </c>
      <c r="D2" s="15" t="s">
        <v>36</v>
      </c>
      <c r="E2" s="15" t="s">
        <v>37</v>
      </c>
    </row>
    <row r="3" spans="1:5" x14ac:dyDescent="0.2">
      <c r="A3" s="15" t="s">
        <v>38</v>
      </c>
      <c r="B3">
        <v>15</v>
      </c>
      <c r="C3">
        <v>20</v>
      </c>
      <c r="D3">
        <v>8</v>
      </c>
      <c r="E3">
        <v>40</v>
      </c>
    </row>
    <row r="4" spans="1:5" x14ac:dyDescent="0.2">
      <c r="A4" s="15" t="s">
        <v>39</v>
      </c>
      <c r="B4">
        <v>12</v>
      </c>
      <c r="C4">
        <v>15</v>
      </c>
      <c r="D4">
        <v>12</v>
      </c>
      <c r="E4">
        <v>60</v>
      </c>
    </row>
    <row r="5" spans="1:5" x14ac:dyDescent="0.2">
      <c r="A5" s="15" t="s">
        <v>40</v>
      </c>
      <c r="B5">
        <v>7</v>
      </c>
      <c r="C5">
        <v>27</v>
      </c>
      <c r="D5">
        <v>11</v>
      </c>
      <c r="E5">
        <v>100</v>
      </c>
    </row>
    <row r="6" spans="1:5" x14ac:dyDescent="0.2">
      <c r="A6" s="15" t="s">
        <v>41</v>
      </c>
      <c r="B6">
        <v>24</v>
      </c>
      <c r="C6">
        <v>32</v>
      </c>
      <c r="D6">
        <v>19</v>
      </c>
      <c r="E6">
        <v>80</v>
      </c>
    </row>
    <row r="7" spans="1:5" x14ac:dyDescent="0.2">
      <c r="A7" s="15" t="s">
        <v>42</v>
      </c>
      <c r="B7">
        <v>70</v>
      </c>
      <c r="C7">
        <v>120</v>
      </c>
      <c r="D7">
        <v>90</v>
      </c>
      <c r="E7">
        <f>SUM(E3:E6)</f>
        <v>280</v>
      </c>
    </row>
    <row r="9" spans="1:5" x14ac:dyDescent="0.2">
      <c r="A9" s="48" t="s">
        <v>43</v>
      </c>
      <c r="B9" s="48"/>
      <c r="C9" s="48"/>
      <c r="D9" s="48"/>
      <c r="E9" s="48"/>
    </row>
    <row r="10" spans="1:5" x14ac:dyDescent="0.2">
      <c r="A10" s="15"/>
      <c r="B10" s="15" t="s">
        <v>34</v>
      </c>
      <c r="C10" s="15" t="s">
        <v>35</v>
      </c>
      <c r="D10" s="15" t="s">
        <v>36</v>
      </c>
      <c r="E10" s="15" t="s">
        <v>37</v>
      </c>
    </row>
    <row r="11" spans="1:5" x14ac:dyDescent="0.2">
      <c r="A11" s="15" t="s">
        <v>38</v>
      </c>
    </row>
    <row r="12" spans="1:5" x14ac:dyDescent="0.2">
      <c r="A12" s="15" t="s">
        <v>39</v>
      </c>
    </row>
    <row r="13" spans="1:5" x14ac:dyDescent="0.2">
      <c r="A13" s="15" t="s">
        <v>40</v>
      </c>
    </row>
    <row r="14" spans="1:5" x14ac:dyDescent="0.2">
      <c r="A14" s="15" t="s">
        <v>41</v>
      </c>
    </row>
    <row r="15" spans="1:5" x14ac:dyDescent="0.2">
      <c r="A15" s="15" t="s">
        <v>42</v>
      </c>
    </row>
    <row r="17" spans="1:5" x14ac:dyDescent="0.2">
      <c r="A17" s="48" t="s">
        <v>44</v>
      </c>
      <c r="B17" s="48"/>
      <c r="C17" s="48"/>
      <c r="D17" s="48"/>
      <c r="E17" s="48"/>
    </row>
    <row r="18" spans="1:5" x14ac:dyDescent="0.2">
      <c r="A18" s="15"/>
      <c r="B18" s="15" t="s">
        <v>34</v>
      </c>
      <c r="C18" s="15" t="s">
        <v>35</v>
      </c>
      <c r="D18" s="15" t="s">
        <v>36</v>
      </c>
      <c r="E18" s="15" t="s">
        <v>37</v>
      </c>
    </row>
    <row r="19" spans="1:5" x14ac:dyDescent="0.2">
      <c r="A19" s="15" t="s">
        <v>38</v>
      </c>
    </row>
    <row r="20" spans="1:5" x14ac:dyDescent="0.2">
      <c r="A20" s="15" t="s">
        <v>39</v>
      </c>
    </row>
    <row r="21" spans="1:5" x14ac:dyDescent="0.2">
      <c r="A21" s="15" t="s">
        <v>40</v>
      </c>
    </row>
    <row r="22" spans="1:5" x14ac:dyDescent="0.2">
      <c r="A22" s="15" t="s">
        <v>41</v>
      </c>
    </row>
    <row r="23" spans="1:5" x14ac:dyDescent="0.2">
      <c r="A23" s="15" t="s">
        <v>42</v>
      </c>
    </row>
  </sheetData>
  <mergeCells count="3">
    <mergeCell ref="A1:E1"/>
    <mergeCell ref="A9:E9"/>
    <mergeCell ref="A17:E17"/>
  </mergeCells>
  <phoneticPr fontId="6"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defaultRowHeight="12.75" x14ac:dyDescent="0.2"/>
  <cols>
    <col min="1" max="1" width="16.7109375" bestFit="1" customWidth="1"/>
    <col min="2" max="2" width="5" bestFit="1" customWidth="1"/>
    <col min="3" max="3" width="4" bestFit="1" customWidth="1"/>
    <col min="4" max="5" width="5" bestFit="1" customWidth="1"/>
    <col min="6" max="6" width="4" bestFit="1" customWidth="1"/>
    <col min="7" max="7" width="20.5703125" bestFit="1" customWidth="1"/>
    <col min="8" max="8" width="9.28515625" bestFit="1" customWidth="1"/>
  </cols>
  <sheetData>
    <row r="1" spans="1:8" x14ac:dyDescent="0.2">
      <c r="A1" s="15"/>
      <c r="B1" s="16" t="s">
        <v>22</v>
      </c>
      <c r="C1" s="16" t="s">
        <v>23</v>
      </c>
      <c r="D1" s="16" t="s">
        <v>24</v>
      </c>
      <c r="E1" s="16" t="s">
        <v>25</v>
      </c>
      <c r="F1" s="16" t="s">
        <v>26</v>
      </c>
      <c r="G1" s="15" t="s">
        <v>27</v>
      </c>
      <c r="H1" s="15" t="s">
        <v>28</v>
      </c>
    </row>
    <row r="2" spans="1:8" x14ac:dyDescent="0.2">
      <c r="A2" s="15" t="s">
        <v>29</v>
      </c>
      <c r="B2">
        <v>0.1</v>
      </c>
      <c r="C2">
        <v>0.4</v>
      </c>
      <c r="D2">
        <v>0.3</v>
      </c>
      <c r="E2">
        <v>0.6</v>
      </c>
      <c r="F2">
        <v>0.6</v>
      </c>
      <c r="G2">
        <v>1500</v>
      </c>
    </row>
    <row r="3" spans="1:8" x14ac:dyDescent="0.2">
      <c r="A3" s="15" t="s">
        <v>30</v>
      </c>
      <c r="B3">
        <v>0.05</v>
      </c>
      <c r="C3">
        <v>0.2</v>
      </c>
      <c r="D3">
        <v>0.1</v>
      </c>
      <c r="E3">
        <v>0.1</v>
      </c>
      <c r="F3">
        <v>0</v>
      </c>
      <c r="G3">
        <v>300</v>
      </c>
    </row>
    <row r="4" spans="1:8" x14ac:dyDescent="0.2">
      <c r="A4" s="15" t="s">
        <v>31</v>
      </c>
      <c r="B4">
        <v>0.1</v>
      </c>
      <c r="C4">
        <v>0.2</v>
      </c>
      <c r="D4">
        <v>0.2</v>
      </c>
      <c r="E4">
        <v>0.1</v>
      </c>
      <c r="F4">
        <v>0.2</v>
      </c>
      <c r="G4">
        <v>450</v>
      </c>
    </row>
    <row r="5" spans="1:8" x14ac:dyDescent="0.2">
      <c r="A5" s="15" t="s">
        <v>45</v>
      </c>
      <c r="B5">
        <v>20</v>
      </c>
      <c r="C5">
        <v>120</v>
      </c>
      <c r="D5">
        <v>100</v>
      </c>
      <c r="E5">
        <v>140</v>
      </c>
      <c r="F5">
        <v>40</v>
      </c>
    </row>
    <row r="6" spans="1:8" x14ac:dyDescent="0.2">
      <c r="A6" s="15" t="s">
        <v>32</v>
      </c>
    </row>
  </sheetData>
  <phoneticPr fontId="6"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workbookViewId="0"/>
  </sheetViews>
  <sheetFormatPr defaultRowHeight="12.75" x14ac:dyDescent="0.2"/>
  <cols>
    <col min="2" max="2" width="6.42578125" style="4" bestFit="1" customWidth="1"/>
    <col min="3" max="3" width="9.85546875" style="4" bestFit="1" customWidth="1"/>
    <col min="4" max="4" width="8.5703125" customWidth="1"/>
    <col min="5" max="5" width="6.42578125" customWidth="1"/>
    <col min="6" max="6" width="6" bestFit="1" customWidth="1"/>
    <col min="7" max="7" width="8" bestFit="1" customWidth="1"/>
    <col min="8" max="8" width="9.28515625" customWidth="1"/>
    <col min="10" max="10" width="11.28515625" bestFit="1" customWidth="1"/>
    <col min="12" max="12" width="11.42578125" bestFit="1" customWidth="1"/>
  </cols>
  <sheetData>
    <row r="1" spans="1:8" x14ac:dyDescent="0.2">
      <c r="A1" s="1" t="s">
        <v>0</v>
      </c>
      <c r="B1" s="2" t="s">
        <v>1</v>
      </c>
      <c r="C1" s="2" t="s">
        <v>266</v>
      </c>
      <c r="D1" s="1" t="s">
        <v>3</v>
      </c>
      <c r="E1" s="1" t="s">
        <v>4</v>
      </c>
      <c r="F1" s="1" t="s">
        <v>5</v>
      </c>
      <c r="G1" s="1" t="s">
        <v>6</v>
      </c>
      <c r="H1" s="1" t="s">
        <v>7</v>
      </c>
    </row>
    <row r="2" spans="1:8" x14ac:dyDescent="0.2">
      <c r="A2" s="3">
        <v>35800</v>
      </c>
      <c r="D2" t="s">
        <v>8</v>
      </c>
      <c r="E2">
        <v>2</v>
      </c>
      <c r="H2" t="s">
        <v>9</v>
      </c>
    </row>
    <row r="3" spans="1:8" x14ac:dyDescent="0.2">
      <c r="A3" s="3">
        <v>35800</v>
      </c>
      <c r="D3" t="s">
        <v>10</v>
      </c>
      <c r="E3">
        <v>2</v>
      </c>
      <c r="H3" t="s">
        <v>9</v>
      </c>
    </row>
    <row r="4" spans="1:8" x14ac:dyDescent="0.2">
      <c r="A4" s="3">
        <v>35801</v>
      </c>
      <c r="D4" t="s">
        <v>8</v>
      </c>
      <c r="E4">
        <v>8</v>
      </c>
      <c r="H4" t="s">
        <v>11</v>
      </c>
    </row>
    <row r="5" spans="1:8" x14ac:dyDescent="0.2">
      <c r="A5" s="3">
        <v>35801</v>
      </c>
      <c r="D5" t="s">
        <v>12</v>
      </c>
      <c r="E5">
        <v>10</v>
      </c>
      <c r="H5" t="s">
        <v>11</v>
      </c>
    </row>
    <row r="6" spans="1:8" x14ac:dyDescent="0.2">
      <c r="A6" s="3">
        <v>35801</v>
      </c>
      <c r="D6" t="s">
        <v>13</v>
      </c>
      <c r="E6">
        <v>8</v>
      </c>
      <c r="H6" t="s">
        <v>11</v>
      </c>
    </row>
    <row r="7" spans="1:8" x14ac:dyDescent="0.2">
      <c r="A7" s="3">
        <v>35802</v>
      </c>
      <c r="D7" t="s">
        <v>14</v>
      </c>
      <c r="E7">
        <v>8</v>
      </c>
      <c r="H7" t="s">
        <v>9</v>
      </c>
    </row>
    <row r="8" spans="1:8" x14ac:dyDescent="0.2">
      <c r="A8" s="3">
        <v>35803</v>
      </c>
      <c r="D8" t="s">
        <v>12</v>
      </c>
      <c r="E8">
        <v>6</v>
      </c>
      <c r="H8" t="s">
        <v>9</v>
      </c>
    </row>
    <row r="9" spans="1:8" x14ac:dyDescent="0.2">
      <c r="A9" s="3">
        <v>35803</v>
      </c>
      <c r="D9" t="s">
        <v>12</v>
      </c>
      <c r="E9">
        <v>10</v>
      </c>
      <c r="H9" t="s">
        <v>9</v>
      </c>
    </row>
    <row r="10" spans="1:8" x14ac:dyDescent="0.2">
      <c r="A10" s="3">
        <v>35803</v>
      </c>
      <c r="D10" t="s">
        <v>14</v>
      </c>
      <c r="E10">
        <v>6</v>
      </c>
      <c r="H10" t="s">
        <v>9</v>
      </c>
    </row>
    <row r="11" spans="1:8" x14ac:dyDescent="0.2">
      <c r="A11" s="3">
        <v>35804</v>
      </c>
      <c r="D11" t="s">
        <v>8</v>
      </c>
      <c r="E11">
        <v>8</v>
      </c>
      <c r="H11" t="s">
        <v>9</v>
      </c>
    </row>
    <row r="12" spans="1:8" x14ac:dyDescent="0.2">
      <c r="A12" s="3">
        <v>35804</v>
      </c>
      <c r="D12" t="s">
        <v>8</v>
      </c>
      <c r="E12">
        <v>8</v>
      </c>
      <c r="H12" t="s">
        <v>9</v>
      </c>
    </row>
    <row r="13" spans="1:8" x14ac:dyDescent="0.2">
      <c r="A13" s="3">
        <v>35804</v>
      </c>
      <c r="D13" t="s">
        <v>13</v>
      </c>
      <c r="E13">
        <v>8</v>
      </c>
      <c r="H13" t="s">
        <v>9</v>
      </c>
    </row>
    <row r="14" spans="1:8" x14ac:dyDescent="0.2">
      <c r="A14" s="3">
        <v>35809</v>
      </c>
      <c r="D14" t="s">
        <v>8</v>
      </c>
      <c r="E14">
        <v>10</v>
      </c>
      <c r="H14" t="s">
        <v>9</v>
      </c>
    </row>
    <row r="15" spans="1:8" x14ac:dyDescent="0.2">
      <c r="A15" s="3">
        <v>35811</v>
      </c>
      <c r="D15" t="s">
        <v>8</v>
      </c>
      <c r="E15">
        <v>10</v>
      </c>
      <c r="H15" t="s">
        <v>9</v>
      </c>
    </row>
    <row r="16" spans="1:8" x14ac:dyDescent="0.2">
      <c r="A16" s="3">
        <v>35811</v>
      </c>
      <c r="D16" t="s">
        <v>12</v>
      </c>
      <c r="E16">
        <v>2</v>
      </c>
      <c r="H16" t="s">
        <v>9</v>
      </c>
    </row>
    <row r="17" spans="1:8" x14ac:dyDescent="0.2">
      <c r="A17" s="3">
        <v>35811</v>
      </c>
      <c r="D17" t="s">
        <v>14</v>
      </c>
      <c r="E17">
        <v>10</v>
      </c>
      <c r="H17" t="s">
        <v>9</v>
      </c>
    </row>
    <row r="18" spans="1:8" x14ac:dyDescent="0.2">
      <c r="A18" s="3">
        <v>35814</v>
      </c>
      <c r="D18" t="s">
        <v>8</v>
      </c>
      <c r="E18">
        <v>8</v>
      </c>
      <c r="H18" t="s">
        <v>9</v>
      </c>
    </row>
    <row r="19" spans="1:8" x14ac:dyDescent="0.2">
      <c r="A19" s="3">
        <v>35814</v>
      </c>
      <c r="D19" t="s">
        <v>8</v>
      </c>
      <c r="E19">
        <v>10</v>
      </c>
      <c r="H19" t="s">
        <v>15</v>
      </c>
    </row>
    <row r="20" spans="1:8" x14ac:dyDescent="0.2">
      <c r="A20" s="3">
        <v>35814</v>
      </c>
      <c r="D20" t="s">
        <v>12</v>
      </c>
      <c r="E20">
        <v>4</v>
      </c>
      <c r="H20" t="s">
        <v>9</v>
      </c>
    </row>
    <row r="21" spans="1:8" x14ac:dyDescent="0.2">
      <c r="A21" s="3">
        <v>35821</v>
      </c>
      <c r="D21" t="s">
        <v>14</v>
      </c>
      <c r="E21">
        <v>2</v>
      </c>
      <c r="H21" t="s">
        <v>9</v>
      </c>
    </row>
    <row r="22" spans="1:8" x14ac:dyDescent="0.2">
      <c r="A22" s="3">
        <v>35821</v>
      </c>
      <c r="D22" t="s">
        <v>10</v>
      </c>
      <c r="E22">
        <v>10</v>
      </c>
      <c r="H22" t="s">
        <v>9</v>
      </c>
    </row>
    <row r="23" spans="1:8" x14ac:dyDescent="0.2">
      <c r="A23" s="3">
        <v>35821</v>
      </c>
      <c r="D23" t="s">
        <v>13</v>
      </c>
      <c r="E23">
        <v>8</v>
      </c>
      <c r="H23" t="s">
        <v>9</v>
      </c>
    </row>
    <row r="24" spans="1:8" x14ac:dyDescent="0.2">
      <c r="A24" s="3">
        <v>35824</v>
      </c>
      <c r="D24" t="s">
        <v>14</v>
      </c>
      <c r="E24">
        <v>4</v>
      </c>
      <c r="H24" t="s">
        <v>9</v>
      </c>
    </row>
    <row r="25" spans="1:8" x14ac:dyDescent="0.2">
      <c r="A25" s="3">
        <v>35828</v>
      </c>
      <c r="D25" t="s">
        <v>12</v>
      </c>
      <c r="E25">
        <v>10</v>
      </c>
      <c r="H25" t="s">
        <v>16</v>
      </c>
    </row>
    <row r="26" spans="1:8" x14ac:dyDescent="0.2">
      <c r="A26" s="3">
        <v>35828</v>
      </c>
      <c r="D26" t="s">
        <v>10</v>
      </c>
      <c r="E26">
        <v>6</v>
      </c>
      <c r="H26" t="s">
        <v>9</v>
      </c>
    </row>
    <row r="27" spans="1:8" x14ac:dyDescent="0.2">
      <c r="A27" s="3">
        <v>35829</v>
      </c>
      <c r="D27" t="s">
        <v>12</v>
      </c>
      <c r="E27">
        <v>4</v>
      </c>
      <c r="H27" t="s">
        <v>9</v>
      </c>
    </row>
    <row r="28" spans="1:8" x14ac:dyDescent="0.2">
      <c r="A28" s="3">
        <v>35829</v>
      </c>
      <c r="D28" t="s">
        <v>14</v>
      </c>
      <c r="E28">
        <v>8</v>
      </c>
      <c r="H28" t="s">
        <v>9</v>
      </c>
    </row>
    <row r="29" spans="1:8" x14ac:dyDescent="0.2">
      <c r="A29" s="3">
        <v>35830</v>
      </c>
      <c r="D29" t="s">
        <v>17</v>
      </c>
      <c r="E29">
        <v>8</v>
      </c>
      <c r="H29" t="s">
        <v>9</v>
      </c>
    </row>
    <row r="30" spans="1:8" x14ac:dyDescent="0.2">
      <c r="A30" s="3">
        <v>35832</v>
      </c>
      <c r="D30" t="s">
        <v>14</v>
      </c>
      <c r="E30">
        <v>6</v>
      </c>
      <c r="H30" t="s">
        <v>9</v>
      </c>
    </row>
    <row r="31" spans="1:8" x14ac:dyDescent="0.2">
      <c r="A31" s="3">
        <v>35832</v>
      </c>
      <c r="D31" t="s">
        <v>10</v>
      </c>
      <c r="E31">
        <v>4</v>
      </c>
      <c r="H31" t="s">
        <v>9</v>
      </c>
    </row>
    <row r="32" spans="1:8" x14ac:dyDescent="0.2">
      <c r="A32" s="3">
        <v>35832</v>
      </c>
      <c r="D32" t="s">
        <v>13</v>
      </c>
      <c r="E32">
        <v>6</v>
      </c>
      <c r="H32" t="s">
        <v>9</v>
      </c>
    </row>
    <row r="33" spans="1:8" x14ac:dyDescent="0.2">
      <c r="A33" s="3">
        <v>35835</v>
      </c>
      <c r="D33" t="s">
        <v>12</v>
      </c>
      <c r="E33">
        <v>8</v>
      </c>
      <c r="H33" t="s">
        <v>9</v>
      </c>
    </row>
    <row r="34" spans="1:8" x14ac:dyDescent="0.2">
      <c r="A34" s="3">
        <v>35838</v>
      </c>
      <c r="D34" t="s">
        <v>8</v>
      </c>
      <c r="E34">
        <v>2</v>
      </c>
      <c r="H34" t="s">
        <v>9</v>
      </c>
    </row>
    <row r="35" spans="1:8" x14ac:dyDescent="0.2">
      <c r="A35" s="3">
        <v>35839</v>
      </c>
      <c r="D35" t="s">
        <v>8</v>
      </c>
      <c r="E35">
        <v>10</v>
      </c>
      <c r="H35" t="s">
        <v>9</v>
      </c>
    </row>
    <row r="36" spans="1:8" x14ac:dyDescent="0.2">
      <c r="A36" s="3">
        <v>35839</v>
      </c>
      <c r="D36" t="s">
        <v>13</v>
      </c>
      <c r="E36">
        <v>2</v>
      </c>
      <c r="H36" t="s">
        <v>9</v>
      </c>
    </row>
    <row r="37" spans="1:8" x14ac:dyDescent="0.2">
      <c r="A37" s="3">
        <v>35842</v>
      </c>
      <c r="D37" t="s">
        <v>8</v>
      </c>
      <c r="E37">
        <v>8</v>
      </c>
      <c r="H37" t="s">
        <v>9</v>
      </c>
    </row>
    <row r="38" spans="1:8" x14ac:dyDescent="0.2">
      <c r="A38" s="3">
        <v>35842</v>
      </c>
      <c r="D38" t="s">
        <v>14</v>
      </c>
      <c r="E38">
        <v>8</v>
      </c>
      <c r="H38" t="s">
        <v>9</v>
      </c>
    </row>
    <row r="39" spans="1:8" x14ac:dyDescent="0.2">
      <c r="A39" s="3">
        <v>35842</v>
      </c>
      <c r="D39" t="s">
        <v>10</v>
      </c>
      <c r="E39">
        <v>10</v>
      </c>
      <c r="H39" t="s">
        <v>9</v>
      </c>
    </row>
    <row r="40" spans="1:8" x14ac:dyDescent="0.2">
      <c r="A40" s="3">
        <v>35844</v>
      </c>
      <c r="D40" t="s">
        <v>12</v>
      </c>
      <c r="E40">
        <v>4</v>
      </c>
      <c r="H40" t="s">
        <v>9</v>
      </c>
    </row>
    <row r="41" spans="1:8" x14ac:dyDescent="0.2">
      <c r="A41" s="3">
        <v>35844</v>
      </c>
      <c r="D41" t="s">
        <v>14</v>
      </c>
      <c r="E41">
        <v>4</v>
      </c>
      <c r="H41" t="s">
        <v>9</v>
      </c>
    </row>
    <row r="42" spans="1:8" x14ac:dyDescent="0.2">
      <c r="A42" s="3">
        <v>35846</v>
      </c>
      <c r="D42" t="s">
        <v>14</v>
      </c>
      <c r="E42">
        <v>6</v>
      </c>
      <c r="H42" t="s">
        <v>16</v>
      </c>
    </row>
    <row r="43" spans="1:8" x14ac:dyDescent="0.2">
      <c r="A43" s="3">
        <v>35846</v>
      </c>
      <c r="D43" t="s">
        <v>13</v>
      </c>
      <c r="E43">
        <v>8</v>
      </c>
      <c r="H43" t="s">
        <v>9</v>
      </c>
    </row>
    <row r="44" spans="1:8" x14ac:dyDescent="0.2">
      <c r="A44" s="3">
        <v>35846</v>
      </c>
      <c r="D44" t="s">
        <v>13</v>
      </c>
      <c r="E44">
        <v>8</v>
      </c>
      <c r="H44" t="s">
        <v>9</v>
      </c>
    </row>
    <row r="45" spans="1:8" x14ac:dyDescent="0.2">
      <c r="A45" s="3">
        <v>35849</v>
      </c>
      <c r="D45" t="s">
        <v>12</v>
      </c>
      <c r="E45">
        <v>6</v>
      </c>
      <c r="H45" t="s">
        <v>9</v>
      </c>
    </row>
    <row r="46" spans="1:8" x14ac:dyDescent="0.2">
      <c r="A46" s="3">
        <v>35850</v>
      </c>
      <c r="D46" t="s">
        <v>8</v>
      </c>
      <c r="E46">
        <v>4</v>
      </c>
      <c r="H46" t="s">
        <v>15</v>
      </c>
    </row>
    <row r="47" spans="1:8" x14ac:dyDescent="0.2">
      <c r="A47" s="3">
        <v>35850</v>
      </c>
      <c r="D47" t="s">
        <v>8</v>
      </c>
      <c r="E47">
        <v>10</v>
      </c>
      <c r="H47" t="s">
        <v>9</v>
      </c>
    </row>
    <row r="48" spans="1:8" x14ac:dyDescent="0.2">
      <c r="A48" s="3">
        <v>35852</v>
      </c>
      <c r="D48" t="s">
        <v>8</v>
      </c>
      <c r="E48">
        <v>10</v>
      </c>
      <c r="H48" t="s">
        <v>9</v>
      </c>
    </row>
    <row r="49" spans="1:8" x14ac:dyDescent="0.2">
      <c r="A49" s="3">
        <v>35853</v>
      </c>
      <c r="D49" t="s">
        <v>8</v>
      </c>
      <c r="E49">
        <v>8</v>
      </c>
      <c r="H49" t="s">
        <v>9</v>
      </c>
    </row>
    <row r="50" spans="1:8" x14ac:dyDescent="0.2">
      <c r="A50" s="3">
        <v>35853</v>
      </c>
      <c r="D50" t="s">
        <v>8</v>
      </c>
      <c r="E50">
        <v>2</v>
      </c>
      <c r="H50" t="s">
        <v>9</v>
      </c>
    </row>
    <row r="51" spans="1:8" x14ac:dyDescent="0.2">
      <c r="A51" s="3">
        <v>35853</v>
      </c>
      <c r="D51" t="s">
        <v>14</v>
      </c>
      <c r="E51">
        <v>4</v>
      </c>
      <c r="H51" t="s">
        <v>9</v>
      </c>
    </row>
    <row r="52" spans="1:8" x14ac:dyDescent="0.2">
      <c r="A52" s="3">
        <v>35860</v>
      </c>
      <c r="D52" t="s">
        <v>12</v>
      </c>
      <c r="E52">
        <v>6</v>
      </c>
      <c r="H52" t="s">
        <v>9</v>
      </c>
    </row>
    <row r="53" spans="1:8" x14ac:dyDescent="0.2">
      <c r="A53" s="3">
        <v>35860</v>
      </c>
      <c r="D53" t="s">
        <v>13</v>
      </c>
      <c r="E53">
        <v>10</v>
      </c>
      <c r="H53" t="s">
        <v>9</v>
      </c>
    </row>
    <row r="54" spans="1:8" x14ac:dyDescent="0.2">
      <c r="A54" s="3">
        <v>35860</v>
      </c>
      <c r="D54" t="s">
        <v>8</v>
      </c>
      <c r="E54">
        <v>10</v>
      </c>
      <c r="H54" t="s">
        <v>9</v>
      </c>
    </row>
    <row r="55" spans="1:8" x14ac:dyDescent="0.2">
      <c r="A55" s="3">
        <v>35860</v>
      </c>
      <c r="D55" t="s">
        <v>12</v>
      </c>
      <c r="E55">
        <v>2</v>
      </c>
      <c r="H55" t="s">
        <v>9</v>
      </c>
    </row>
    <row r="56" spans="1:8" x14ac:dyDescent="0.2">
      <c r="A56" s="3">
        <v>35860</v>
      </c>
      <c r="D56" t="s">
        <v>10</v>
      </c>
      <c r="E56">
        <v>4</v>
      </c>
      <c r="H56" t="s">
        <v>9</v>
      </c>
    </row>
    <row r="57" spans="1:8" x14ac:dyDescent="0.2">
      <c r="A57" s="3">
        <v>35863</v>
      </c>
      <c r="D57" t="s">
        <v>17</v>
      </c>
      <c r="E57">
        <v>8</v>
      </c>
      <c r="H57" t="s">
        <v>9</v>
      </c>
    </row>
    <row r="58" spans="1:8" x14ac:dyDescent="0.2">
      <c r="A58" s="3">
        <v>35863</v>
      </c>
      <c r="D58" t="s">
        <v>13</v>
      </c>
      <c r="E58">
        <v>8</v>
      </c>
      <c r="H58" t="s">
        <v>9</v>
      </c>
    </row>
    <row r="59" spans="1:8" x14ac:dyDescent="0.2">
      <c r="A59" s="3">
        <v>35870</v>
      </c>
      <c r="D59" t="s">
        <v>8</v>
      </c>
      <c r="E59">
        <v>8</v>
      </c>
      <c r="H59" t="s">
        <v>9</v>
      </c>
    </row>
    <row r="60" spans="1:8" x14ac:dyDescent="0.2">
      <c r="A60" s="3">
        <v>35871</v>
      </c>
      <c r="D60" t="s">
        <v>12</v>
      </c>
      <c r="E60">
        <v>4</v>
      </c>
      <c r="H60" t="s">
        <v>9</v>
      </c>
    </row>
    <row r="61" spans="1:8" x14ac:dyDescent="0.2">
      <c r="A61" s="3">
        <v>35874</v>
      </c>
      <c r="D61" t="s">
        <v>17</v>
      </c>
      <c r="E61">
        <v>10</v>
      </c>
      <c r="H61" t="s">
        <v>16</v>
      </c>
    </row>
    <row r="62" spans="1:8" x14ac:dyDescent="0.2">
      <c r="A62" s="3">
        <v>35877</v>
      </c>
      <c r="D62" t="s">
        <v>8</v>
      </c>
      <c r="E62">
        <v>10</v>
      </c>
      <c r="H62" t="s">
        <v>11</v>
      </c>
    </row>
    <row r="63" spans="1:8" x14ac:dyDescent="0.2">
      <c r="A63" s="3">
        <v>35877</v>
      </c>
      <c r="D63" t="s">
        <v>8</v>
      </c>
      <c r="E63">
        <v>4</v>
      </c>
      <c r="H63" t="s">
        <v>9</v>
      </c>
    </row>
    <row r="64" spans="1:8" x14ac:dyDescent="0.2">
      <c r="A64" s="3">
        <v>35879</v>
      </c>
      <c r="D64" t="s">
        <v>17</v>
      </c>
      <c r="E64">
        <v>6</v>
      </c>
      <c r="H64" t="s">
        <v>9</v>
      </c>
    </row>
    <row r="65" spans="1:8" x14ac:dyDescent="0.2">
      <c r="A65" s="3">
        <v>35884</v>
      </c>
      <c r="D65" t="s">
        <v>14</v>
      </c>
      <c r="E65">
        <v>8</v>
      </c>
      <c r="H65" t="s">
        <v>9</v>
      </c>
    </row>
    <row r="66" spans="1:8" x14ac:dyDescent="0.2">
      <c r="A66" s="3">
        <v>35891</v>
      </c>
      <c r="D66" t="s">
        <v>17</v>
      </c>
      <c r="E66">
        <v>4</v>
      </c>
      <c r="H66" t="s">
        <v>9</v>
      </c>
    </row>
    <row r="67" spans="1:8" x14ac:dyDescent="0.2">
      <c r="A67" s="3">
        <v>35891</v>
      </c>
      <c r="D67" t="s">
        <v>17</v>
      </c>
      <c r="E67">
        <v>10</v>
      </c>
      <c r="H67" t="s">
        <v>9</v>
      </c>
    </row>
    <row r="68" spans="1:8" x14ac:dyDescent="0.2">
      <c r="A68" s="3">
        <v>35892</v>
      </c>
      <c r="D68" t="s">
        <v>8</v>
      </c>
      <c r="E68">
        <v>6</v>
      </c>
      <c r="H68" t="s">
        <v>9</v>
      </c>
    </row>
    <row r="69" spans="1:8" x14ac:dyDescent="0.2">
      <c r="A69" s="3">
        <v>35892</v>
      </c>
      <c r="D69" t="s">
        <v>17</v>
      </c>
      <c r="E69">
        <v>6</v>
      </c>
      <c r="H69" t="s">
        <v>9</v>
      </c>
    </row>
    <row r="70" spans="1:8" x14ac:dyDescent="0.2">
      <c r="A70" s="3">
        <v>35893</v>
      </c>
      <c r="D70" t="s">
        <v>12</v>
      </c>
      <c r="E70">
        <v>4</v>
      </c>
      <c r="H70" t="s">
        <v>9</v>
      </c>
    </row>
    <row r="71" spans="1:8" x14ac:dyDescent="0.2">
      <c r="A71" s="3">
        <v>35893</v>
      </c>
      <c r="D71" t="s">
        <v>14</v>
      </c>
      <c r="E71">
        <v>4</v>
      </c>
      <c r="H71" t="s">
        <v>9</v>
      </c>
    </row>
    <row r="72" spans="1:8" x14ac:dyDescent="0.2">
      <c r="A72" s="3">
        <v>35893</v>
      </c>
      <c r="D72" t="s">
        <v>10</v>
      </c>
      <c r="E72">
        <v>8</v>
      </c>
      <c r="H72" t="s">
        <v>9</v>
      </c>
    </row>
    <row r="73" spans="1:8" x14ac:dyDescent="0.2">
      <c r="A73" s="3">
        <v>35893</v>
      </c>
      <c r="D73" t="s">
        <v>17</v>
      </c>
      <c r="E73">
        <v>6</v>
      </c>
      <c r="H73" t="s">
        <v>9</v>
      </c>
    </row>
    <row r="74" spans="1:8" x14ac:dyDescent="0.2">
      <c r="A74" s="3">
        <v>35894</v>
      </c>
      <c r="D74" t="s">
        <v>8</v>
      </c>
      <c r="E74">
        <v>2</v>
      </c>
      <c r="H74" t="s">
        <v>9</v>
      </c>
    </row>
    <row r="75" spans="1:8" x14ac:dyDescent="0.2">
      <c r="A75" s="3">
        <v>35895</v>
      </c>
      <c r="D75" t="s">
        <v>12</v>
      </c>
      <c r="E75">
        <v>10</v>
      </c>
      <c r="H75" t="s">
        <v>9</v>
      </c>
    </row>
    <row r="76" spans="1:8" x14ac:dyDescent="0.2">
      <c r="A76" s="3">
        <v>35895</v>
      </c>
      <c r="D76" t="s">
        <v>14</v>
      </c>
      <c r="E76">
        <v>10</v>
      </c>
      <c r="H76" t="s">
        <v>16</v>
      </c>
    </row>
    <row r="77" spans="1:8" x14ac:dyDescent="0.2">
      <c r="A77" s="3">
        <v>35895</v>
      </c>
      <c r="D77" t="s">
        <v>14</v>
      </c>
      <c r="E77">
        <v>6</v>
      </c>
      <c r="H77" t="s">
        <v>9</v>
      </c>
    </row>
    <row r="78" spans="1:8" x14ac:dyDescent="0.2">
      <c r="A78" s="3">
        <v>35899</v>
      </c>
      <c r="D78" t="s">
        <v>17</v>
      </c>
      <c r="E78">
        <v>10</v>
      </c>
      <c r="H78" t="s">
        <v>9</v>
      </c>
    </row>
    <row r="79" spans="1:8" x14ac:dyDescent="0.2">
      <c r="A79" s="3">
        <v>35900</v>
      </c>
      <c r="D79" t="s">
        <v>17</v>
      </c>
      <c r="E79">
        <v>4</v>
      </c>
      <c r="H79" t="s">
        <v>9</v>
      </c>
    </row>
    <row r="80" spans="1:8" x14ac:dyDescent="0.2">
      <c r="A80" s="3">
        <v>35901</v>
      </c>
      <c r="D80" t="s">
        <v>8</v>
      </c>
      <c r="E80">
        <v>4</v>
      </c>
      <c r="H80" t="s">
        <v>15</v>
      </c>
    </row>
    <row r="81" spans="1:8" x14ac:dyDescent="0.2">
      <c r="A81" s="3">
        <v>35902</v>
      </c>
      <c r="D81" t="s">
        <v>12</v>
      </c>
      <c r="E81">
        <v>4</v>
      </c>
      <c r="H81" t="s">
        <v>9</v>
      </c>
    </row>
    <row r="82" spans="1:8" x14ac:dyDescent="0.2">
      <c r="A82" s="3">
        <v>35902</v>
      </c>
      <c r="D82" t="s">
        <v>14</v>
      </c>
      <c r="E82">
        <v>2</v>
      </c>
      <c r="H82" t="s">
        <v>9</v>
      </c>
    </row>
    <row r="83" spans="1:8" x14ac:dyDescent="0.2">
      <c r="A83" s="3">
        <v>35905</v>
      </c>
      <c r="D83" t="s">
        <v>8</v>
      </c>
      <c r="E83">
        <v>4</v>
      </c>
      <c r="H83" t="s">
        <v>9</v>
      </c>
    </row>
    <row r="84" spans="1:8" x14ac:dyDescent="0.2">
      <c r="A84" s="3">
        <v>35905</v>
      </c>
      <c r="D84" t="s">
        <v>12</v>
      </c>
      <c r="E84">
        <v>4</v>
      </c>
      <c r="H84" t="s">
        <v>9</v>
      </c>
    </row>
    <row r="85" spans="1:8" x14ac:dyDescent="0.2">
      <c r="A85" s="3">
        <v>35905</v>
      </c>
      <c r="D85" t="s">
        <v>17</v>
      </c>
      <c r="E85">
        <v>8</v>
      </c>
      <c r="H85" t="s">
        <v>9</v>
      </c>
    </row>
    <row r="86" spans="1:8" x14ac:dyDescent="0.2">
      <c r="A86" s="3">
        <v>35906</v>
      </c>
      <c r="D86" t="s">
        <v>8</v>
      </c>
      <c r="E86">
        <v>2</v>
      </c>
      <c r="H86" t="s">
        <v>9</v>
      </c>
    </row>
    <row r="87" spans="1:8" x14ac:dyDescent="0.2">
      <c r="A87" s="3">
        <v>35906</v>
      </c>
      <c r="D87" t="s">
        <v>12</v>
      </c>
      <c r="E87">
        <v>4</v>
      </c>
      <c r="H87" t="s">
        <v>9</v>
      </c>
    </row>
    <row r="88" spans="1:8" x14ac:dyDescent="0.2">
      <c r="A88" s="3">
        <v>35908</v>
      </c>
      <c r="D88" t="s">
        <v>8</v>
      </c>
      <c r="E88">
        <v>2</v>
      </c>
      <c r="H88" t="s">
        <v>9</v>
      </c>
    </row>
    <row r="89" spans="1:8" x14ac:dyDescent="0.2">
      <c r="A89" s="3">
        <v>35908</v>
      </c>
      <c r="D89" t="s">
        <v>12</v>
      </c>
      <c r="E89">
        <v>6</v>
      </c>
      <c r="H89" t="s">
        <v>9</v>
      </c>
    </row>
    <row r="90" spans="1:8" x14ac:dyDescent="0.2">
      <c r="A90" s="3">
        <v>35909</v>
      </c>
      <c r="D90" t="s">
        <v>12</v>
      </c>
      <c r="E90">
        <v>6</v>
      </c>
      <c r="H90" t="s">
        <v>9</v>
      </c>
    </row>
    <row r="91" spans="1:8" x14ac:dyDescent="0.2">
      <c r="A91" s="3">
        <v>35912</v>
      </c>
      <c r="D91" t="s">
        <v>14</v>
      </c>
      <c r="E91">
        <v>2</v>
      </c>
      <c r="H91" t="s">
        <v>9</v>
      </c>
    </row>
    <row r="92" spans="1:8" x14ac:dyDescent="0.2">
      <c r="A92" s="3">
        <v>35912</v>
      </c>
      <c r="D92" t="s">
        <v>17</v>
      </c>
      <c r="E92">
        <v>8</v>
      </c>
      <c r="H92" t="s">
        <v>16</v>
      </c>
    </row>
    <row r="93" spans="1:8" x14ac:dyDescent="0.2">
      <c r="A93" s="3">
        <v>35912</v>
      </c>
      <c r="D93" t="s">
        <v>13</v>
      </c>
      <c r="E93">
        <v>6</v>
      </c>
      <c r="H93" t="s">
        <v>9</v>
      </c>
    </row>
    <row r="94" spans="1:8" x14ac:dyDescent="0.2">
      <c r="A94" s="3">
        <v>35913</v>
      </c>
      <c r="D94" t="s">
        <v>12</v>
      </c>
      <c r="E94">
        <v>2</v>
      </c>
      <c r="H94" t="s">
        <v>9</v>
      </c>
    </row>
    <row r="95" spans="1:8" x14ac:dyDescent="0.2">
      <c r="A95" s="3">
        <v>35913</v>
      </c>
      <c r="D95" t="s">
        <v>14</v>
      </c>
      <c r="E95">
        <v>4</v>
      </c>
      <c r="H95" t="s">
        <v>9</v>
      </c>
    </row>
    <row r="96" spans="1:8" x14ac:dyDescent="0.2">
      <c r="A96" s="3">
        <v>35914</v>
      </c>
      <c r="D96" t="s">
        <v>10</v>
      </c>
      <c r="E96">
        <v>4</v>
      </c>
      <c r="H96" t="s">
        <v>9</v>
      </c>
    </row>
    <row r="97" spans="1:8" x14ac:dyDescent="0.2">
      <c r="A97" s="3">
        <v>35919</v>
      </c>
      <c r="D97" t="s">
        <v>12</v>
      </c>
      <c r="E97">
        <v>8</v>
      </c>
      <c r="H97" t="s">
        <v>9</v>
      </c>
    </row>
    <row r="98" spans="1:8" x14ac:dyDescent="0.2">
      <c r="A98" s="3">
        <v>35920</v>
      </c>
      <c r="D98" t="s">
        <v>10</v>
      </c>
      <c r="E98">
        <v>4</v>
      </c>
      <c r="H98" t="s">
        <v>9</v>
      </c>
    </row>
    <row r="99" spans="1:8" x14ac:dyDescent="0.2">
      <c r="A99" s="3">
        <v>35921</v>
      </c>
      <c r="D99" t="s">
        <v>8</v>
      </c>
      <c r="E99">
        <v>6</v>
      </c>
      <c r="H99" t="s">
        <v>9</v>
      </c>
    </row>
    <row r="100" spans="1:8" x14ac:dyDescent="0.2">
      <c r="A100" s="3">
        <v>35923</v>
      </c>
      <c r="D100" t="s">
        <v>8</v>
      </c>
      <c r="E100">
        <v>8</v>
      </c>
      <c r="H100" t="s">
        <v>9</v>
      </c>
    </row>
    <row r="101" spans="1:8" x14ac:dyDescent="0.2">
      <c r="A101" s="3">
        <v>35923</v>
      </c>
      <c r="D101" t="s">
        <v>8</v>
      </c>
      <c r="E101">
        <v>10</v>
      </c>
      <c r="H101" t="s">
        <v>11</v>
      </c>
    </row>
    <row r="102" spans="1:8" x14ac:dyDescent="0.2">
      <c r="A102" s="3">
        <v>35923</v>
      </c>
      <c r="D102" t="s">
        <v>12</v>
      </c>
      <c r="E102">
        <v>6</v>
      </c>
      <c r="H102" t="s">
        <v>9</v>
      </c>
    </row>
    <row r="103" spans="1:8" x14ac:dyDescent="0.2">
      <c r="A103" s="3">
        <v>35923</v>
      </c>
      <c r="D103" t="s">
        <v>12</v>
      </c>
      <c r="E103">
        <v>10</v>
      </c>
      <c r="H103" t="s">
        <v>11</v>
      </c>
    </row>
    <row r="104" spans="1:8" x14ac:dyDescent="0.2">
      <c r="A104" s="3">
        <v>35923</v>
      </c>
      <c r="D104" t="s">
        <v>17</v>
      </c>
      <c r="E104">
        <v>10</v>
      </c>
      <c r="H104" t="s">
        <v>9</v>
      </c>
    </row>
    <row r="105" spans="1:8" x14ac:dyDescent="0.2">
      <c r="A105" s="3">
        <v>35926</v>
      </c>
      <c r="D105" t="s">
        <v>8</v>
      </c>
      <c r="E105">
        <v>8</v>
      </c>
      <c r="H105" t="s">
        <v>9</v>
      </c>
    </row>
    <row r="106" spans="1:8" x14ac:dyDescent="0.2">
      <c r="A106" s="3">
        <v>35927</v>
      </c>
      <c r="D106" t="s">
        <v>12</v>
      </c>
      <c r="E106">
        <v>2</v>
      </c>
      <c r="H106" t="s">
        <v>9</v>
      </c>
    </row>
    <row r="107" spans="1:8" x14ac:dyDescent="0.2">
      <c r="A107" s="3">
        <v>35927</v>
      </c>
      <c r="D107" t="s">
        <v>14</v>
      </c>
      <c r="E107">
        <v>4</v>
      </c>
      <c r="H107" t="s">
        <v>9</v>
      </c>
    </row>
    <row r="108" spans="1:8" x14ac:dyDescent="0.2">
      <c r="A108" s="3">
        <v>35929</v>
      </c>
      <c r="D108" t="s">
        <v>10</v>
      </c>
      <c r="E108">
        <v>2</v>
      </c>
      <c r="H108" t="s">
        <v>9</v>
      </c>
    </row>
    <row r="109" spans="1:8" x14ac:dyDescent="0.2">
      <c r="A109" s="3">
        <v>35929</v>
      </c>
      <c r="D109" t="s">
        <v>13</v>
      </c>
      <c r="E109">
        <v>4</v>
      </c>
      <c r="H109" t="s">
        <v>9</v>
      </c>
    </row>
    <row r="110" spans="1:8" x14ac:dyDescent="0.2">
      <c r="A110" s="3">
        <v>35929</v>
      </c>
      <c r="D110" t="s">
        <v>13</v>
      </c>
      <c r="E110">
        <v>10</v>
      </c>
      <c r="H110" t="s">
        <v>9</v>
      </c>
    </row>
    <row r="111" spans="1:8" x14ac:dyDescent="0.2">
      <c r="A111" s="3">
        <v>35930</v>
      </c>
      <c r="D111" t="s">
        <v>8</v>
      </c>
      <c r="E111">
        <v>10</v>
      </c>
      <c r="H111" t="s">
        <v>9</v>
      </c>
    </row>
    <row r="112" spans="1:8" x14ac:dyDescent="0.2">
      <c r="A112" s="3">
        <v>35930</v>
      </c>
      <c r="D112" t="s">
        <v>17</v>
      </c>
      <c r="E112">
        <v>2</v>
      </c>
      <c r="H112" t="s">
        <v>9</v>
      </c>
    </row>
    <row r="113" spans="1:8" x14ac:dyDescent="0.2">
      <c r="A113" s="3">
        <v>35933</v>
      </c>
      <c r="D113" t="s">
        <v>8</v>
      </c>
      <c r="E113">
        <v>8</v>
      </c>
      <c r="H113" t="s">
        <v>15</v>
      </c>
    </row>
    <row r="114" spans="1:8" x14ac:dyDescent="0.2">
      <c r="A114" s="3">
        <v>35933</v>
      </c>
      <c r="D114" t="s">
        <v>8</v>
      </c>
      <c r="E114">
        <v>6</v>
      </c>
      <c r="H114" t="s">
        <v>9</v>
      </c>
    </row>
    <row r="115" spans="1:8" x14ac:dyDescent="0.2">
      <c r="A115" s="3">
        <v>35933</v>
      </c>
      <c r="D115" t="s">
        <v>14</v>
      </c>
      <c r="E115">
        <v>4</v>
      </c>
      <c r="H115" t="s">
        <v>15</v>
      </c>
    </row>
    <row r="116" spans="1:8" x14ac:dyDescent="0.2">
      <c r="A116" s="3">
        <v>35933</v>
      </c>
      <c r="D116" t="s">
        <v>13</v>
      </c>
      <c r="E116">
        <v>8</v>
      </c>
      <c r="H116" t="s">
        <v>15</v>
      </c>
    </row>
    <row r="117" spans="1:8" x14ac:dyDescent="0.2">
      <c r="A117" s="3">
        <v>35933</v>
      </c>
      <c r="D117" t="s">
        <v>13</v>
      </c>
      <c r="E117">
        <v>8</v>
      </c>
      <c r="H117" t="s">
        <v>9</v>
      </c>
    </row>
    <row r="118" spans="1:8" x14ac:dyDescent="0.2">
      <c r="A118" s="3">
        <v>35934</v>
      </c>
      <c r="D118" t="s">
        <v>17</v>
      </c>
      <c r="E118">
        <v>4</v>
      </c>
      <c r="H118" t="s">
        <v>9</v>
      </c>
    </row>
    <row r="119" spans="1:8" x14ac:dyDescent="0.2">
      <c r="A119" s="3">
        <v>35935</v>
      </c>
      <c r="D119" t="s">
        <v>14</v>
      </c>
      <c r="E119">
        <v>4</v>
      </c>
      <c r="H119" t="s">
        <v>9</v>
      </c>
    </row>
    <row r="120" spans="1:8" x14ac:dyDescent="0.2">
      <c r="A120" s="3">
        <v>35935</v>
      </c>
      <c r="D120" t="s">
        <v>17</v>
      </c>
      <c r="E120">
        <v>4</v>
      </c>
      <c r="H120" t="s">
        <v>9</v>
      </c>
    </row>
    <row r="121" spans="1:8" x14ac:dyDescent="0.2">
      <c r="A121" s="3">
        <v>35936</v>
      </c>
      <c r="D121" t="s">
        <v>8</v>
      </c>
      <c r="E121">
        <v>4</v>
      </c>
      <c r="H121" t="s">
        <v>9</v>
      </c>
    </row>
    <row r="122" spans="1:8" x14ac:dyDescent="0.2">
      <c r="A122" s="3">
        <v>35936</v>
      </c>
      <c r="D122" t="s">
        <v>14</v>
      </c>
      <c r="E122">
        <v>2</v>
      </c>
      <c r="H122" t="s">
        <v>9</v>
      </c>
    </row>
    <row r="123" spans="1:8" x14ac:dyDescent="0.2">
      <c r="A123" s="3">
        <v>35936</v>
      </c>
      <c r="D123" t="s">
        <v>10</v>
      </c>
      <c r="E123">
        <v>4</v>
      </c>
      <c r="H123" t="s">
        <v>9</v>
      </c>
    </row>
    <row r="124" spans="1:8" x14ac:dyDescent="0.2">
      <c r="A124" s="3">
        <v>35937</v>
      </c>
      <c r="D124" t="s">
        <v>12</v>
      </c>
      <c r="E124">
        <v>2</v>
      </c>
      <c r="H124" t="s">
        <v>9</v>
      </c>
    </row>
    <row r="125" spans="1:8" x14ac:dyDescent="0.2">
      <c r="A125" s="3">
        <v>35937</v>
      </c>
      <c r="D125" t="s">
        <v>12</v>
      </c>
      <c r="E125">
        <v>4</v>
      </c>
      <c r="H125" t="s">
        <v>9</v>
      </c>
    </row>
    <row r="126" spans="1:8" x14ac:dyDescent="0.2">
      <c r="A126" s="3">
        <v>35937</v>
      </c>
      <c r="D126" t="s">
        <v>13</v>
      </c>
      <c r="E126">
        <v>2</v>
      </c>
      <c r="H126" t="s">
        <v>9</v>
      </c>
    </row>
    <row r="127" spans="1:8" x14ac:dyDescent="0.2">
      <c r="A127" s="3">
        <v>35940</v>
      </c>
      <c r="D127" t="s">
        <v>8</v>
      </c>
      <c r="E127">
        <v>4</v>
      </c>
      <c r="H127" t="s">
        <v>11</v>
      </c>
    </row>
    <row r="128" spans="1:8" x14ac:dyDescent="0.2">
      <c r="A128" s="3">
        <v>35940</v>
      </c>
      <c r="D128" t="s">
        <v>8</v>
      </c>
      <c r="E128">
        <v>6</v>
      </c>
      <c r="H128" t="s">
        <v>9</v>
      </c>
    </row>
    <row r="129" spans="1:8" x14ac:dyDescent="0.2">
      <c r="A129" s="3">
        <v>35940</v>
      </c>
      <c r="D129" t="s">
        <v>12</v>
      </c>
      <c r="E129">
        <v>10</v>
      </c>
      <c r="H129" t="s">
        <v>11</v>
      </c>
    </row>
    <row r="130" spans="1:8" x14ac:dyDescent="0.2">
      <c r="A130" s="3">
        <v>35940</v>
      </c>
      <c r="D130" t="s">
        <v>14</v>
      </c>
      <c r="E130">
        <v>8</v>
      </c>
      <c r="H130" t="s">
        <v>9</v>
      </c>
    </row>
    <row r="131" spans="1:8" x14ac:dyDescent="0.2">
      <c r="A131" s="3">
        <v>35940</v>
      </c>
      <c r="D131" t="s">
        <v>14</v>
      </c>
      <c r="E131">
        <v>2</v>
      </c>
      <c r="H131" t="s">
        <v>9</v>
      </c>
    </row>
    <row r="132" spans="1:8" x14ac:dyDescent="0.2">
      <c r="A132" s="3">
        <v>35943</v>
      </c>
      <c r="D132" t="s">
        <v>8</v>
      </c>
      <c r="E132">
        <v>4</v>
      </c>
      <c r="H132" t="s">
        <v>9</v>
      </c>
    </row>
    <row r="133" spans="1:8" x14ac:dyDescent="0.2">
      <c r="A133" s="3">
        <v>35944</v>
      </c>
      <c r="D133" t="s">
        <v>8</v>
      </c>
      <c r="E133">
        <v>2</v>
      </c>
      <c r="H133" t="s">
        <v>9</v>
      </c>
    </row>
    <row r="134" spans="1:8" x14ac:dyDescent="0.2">
      <c r="A134" s="3">
        <v>35944</v>
      </c>
      <c r="D134" t="s">
        <v>12</v>
      </c>
      <c r="E134">
        <v>2</v>
      </c>
      <c r="H134" t="s">
        <v>9</v>
      </c>
    </row>
    <row r="135" spans="1:8" x14ac:dyDescent="0.2">
      <c r="A135" s="3">
        <v>35944</v>
      </c>
      <c r="D135" t="s">
        <v>17</v>
      </c>
      <c r="E135">
        <v>10</v>
      </c>
      <c r="H135" t="s">
        <v>9</v>
      </c>
    </row>
    <row r="136" spans="1:8" x14ac:dyDescent="0.2">
      <c r="A136" s="3">
        <v>35949</v>
      </c>
      <c r="D136" t="s">
        <v>12</v>
      </c>
      <c r="E136">
        <v>6</v>
      </c>
      <c r="H136" t="s">
        <v>9</v>
      </c>
    </row>
    <row r="137" spans="1:8" x14ac:dyDescent="0.2">
      <c r="A137" s="3">
        <v>35951</v>
      </c>
      <c r="D137" t="s">
        <v>17</v>
      </c>
      <c r="E137">
        <v>10</v>
      </c>
      <c r="H137" t="s">
        <v>9</v>
      </c>
    </row>
    <row r="138" spans="1:8" x14ac:dyDescent="0.2">
      <c r="A138" s="3">
        <v>35951</v>
      </c>
      <c r="D138" t="s">
        <v>17</v>
      </c>
      <c r="E138">
        <v>4</v>
      </c>
      <c r="H138" t="s">
        <v>9</v>
      </c>
    </row>
    <row r="139" spans="1:8" x14ac:dyDescent="0.2">
      <c r="A139" s="3">
        <v>35954</v>
      </c>
      <c r="D139" t="s">
        <v>8</v>
      </c>
      <c r="E139">
        <v>6</v>
      </c>
      <c r="H139" t="s">
        <v>9</v>
      </c>
    </row>
    <row r="140" spans="1:8" x14ac:dyDescent="0.2">
      <c r="A140" s="3">
        <v>35954</v>
      </c>
      <c r="D140" t="s">
        <v>13</v>
      </c>
      <c r="E140">
        <v>4</v>
      </c>
      <c r="H140" t="s">
        <v>9</v>
      </c>
    </row>
    <row r="141" spans="1:8" x14ac:dyDescent="0.2">
      <c r="A141" s="3">
        <v>35954</v>
      </c>
      <c r="D141" t="s">
        <v>12</v>
      </c>
      <c r="E141">
        <v>10</v>
      </c>
      <c r="H141" t="s">
        <v>9</v>
      </c>
    </row>
    <row r="142" spans="1:8" x14ac:dyDescent="0.2">
      <c r="A142" s="3">
        <v>35954</v>
      </c>
      <c r="D142" t="s">
        <v>17</v>
      </c>
      <c r="E142">
        <v>10</v>
      </c>
      <c r="H142" t="s">
        <v>9</v>
      </c>
    </row>
    <row r="143" spans="1:8" x14ac:dyDescent="0.2">
      <c r="A143" s="3">
        <v>35956</v>
      </c>
      <c r="D143" t="s">
        <v>8</v>
      </c>
      <c r="E143">
        <v>4</v>
      </c>
      <c r="H143" t="s">
        <v>15</v>
      </c>
    </row>
    <row r="144" spans="1:8" x14ac:dyDescent="0.2">
      <c r="A144" s="3">
        <v>35956</v>
      </c>
      <c r="D144" t="s">
        <v>12</v>
      </c>
      <c r="E144">
        <v>8</v>
      </c>
      <c r="H144" t="s">
        <v>15</v>
      </c>
    </row>
    <row r="145" spans="1:8" x14ac:dyDescent="0.2">
      <c r="A145" s="3">
        <v>35956</v>
      </c>
      <c r="D145" t="s">
        <v>13</v>
      </c>
      <c r="E145">
        <v>10</v>
      </c>
      <c r="H145" t="s">
        <v>15</v>
      </c>
    </row>
    <row r="146" spans="1:8" x14ac:dyDescent="0.2">
      <c r="A146" s="3">
        <v>35961</v>
      </c>
      <c r="D146" t="s">
        <v>17</v>
      </c>
      <c r="E146">
        <v>10</v>
      </c>
      <c r="H146" t="s">
        <v>9</v>
      </c>
    </row>
    <row r="147" spans="1:8" x14ac:dyDescent="0.2">
      <c r="A147" s="3">
        <v>35962</v>
      </c>
      <c r="D147" t="s">
        <v>12</v>
      </c>
      <c r="E147">
        <v>2</v>
      </c>
      <c r="H147" t="s">
        <v>9</v>
      </c>
    </row>
    <row r="148" spans="1:8" x14ac:dyDescent="0.2">
      <c r="A148" s="3">
        <v>35963</v>
      </c>
      <c r="D148" t="s">
        <v>8</v>
      </c>
      <c r="E148">
        <v>10</v>
      </c>
      <c r="H148" t="s">
        <v>9</v>
      </c>
    </row>
    <row r="149" spans="1:8" x14ac:dyDescent="0.2">
      <c r="A149" s="3">
        <v>35964</v>
      </c>
      <c r="D149" t="s">
        <v>17</v>
      </c>
      <c r="E149">
        <v>8</v>
      </c>
      <c r="H149" t="s">
        <v>9</v>
      </c>
    </row>
    <row r="150" spans="1:8" x14ac:dyDescent="0.2">
      <c r="A150" s="3">
        <v>35965</v>
      </c>
      <c r="D150" t="s">
        <v>17</v>
      </c>
      <c r="E150">
        <v>2</v>
      </c>
      <c r="H150" t="s">
        <v>9</v>
      </c>
    </row>
    <row r="151" spans="1:8" x14ac:dyDescent="0.2">
      <c r="A151" s="3">
        <v>35968</v>
      </c>
      <c r="D151" t="s">
        <v>8</v>
      </c>
      <c r="E151">
        <v>6</v>
      </c>
      <c r="H151" t="s">
        <v>9</v>
      </c>
    </row>
    <row r="152" spans="1:8" x14ac:dyDescent="0.2">
      <c r="A152" s="3">
        <v>35968</v>
      </c>
      <c r="D152" t="s">
        <v>17</v>
      </c>
      <c r="E152">
        <v>8</v>
      </c>
      <c r="H152" t="s">
        <v>9</v>
      </c>
    </row>
    <row r="153" spans="1:8" x14ac:dyDescent="0.2">
      <c r="A153" s="3">
        <v>35968</v>
      </c>
      <c r="D153" t="s">
        <v>13</v>
      </c>
      <c r="E153">
        <v>6</v>
      </c>
      <c r="H153" t="s">
        <v>9</v>
      </c>
    </row>
    <row r="154" spans="1:8" x14ac:dyDescent="0.2">
      <c r="A154" s="3">
        <v>35969</v>
      </c>
      <c r="D154" t="s">
        <v>8</v>
      </c>
      <c r="E154">
        <v>10</v>
      </c>
      <c r="H154" t="s">
        <v>15</v>
      </c>
    </row>
    <row r="155" spans="1:8" x14ac:dyDescent="0.2">
      <c r="A155" s="3">
        <v>35970</v>
      </c>
      <c r="D155" t="s">
        <v>8</v>
      </c>
      <c r="E155">
        <v>8</v>
      </c>
      <c r="H155" t="s">
        <v>9</v>
      </c>
    </row>
    <row r="156" spans="1:8" x14ac:dyDescent="0.2">
      <c r="A156" s="3">
        <v>35970</v>
      </c>
      <c r="D156" t="s">
        <v>12</v>
      </c>
      <c r="E156">
        <v>6</v>
      </c>
      <c r="H156" t="s">
        <v>9</v>
      </c>
    </row>
    <row r="157" spans="1:8" x14ac:dyDescent="0.2">
      <c r="A157" s="3">
        <v>35970</v>
      </c>
      <c r="D157" t="s">
        <v>17</v>
      </c>
      <c r="E157">
        <v>10</v>
      </c>
      <c r="H157" t="s">
        <v>9</v>
      </c>
    </row>
    <row r="158" spans="1:8" x14ac:dyDescent="0.2">
      <c r="A158" s="3">
        <v>35971</v>
      </c>
      <c r="D158" t="s">
        <v>8</v>
      </c>
      <c r="E158">
        <v>6</v>
      </c>
      <c r="H158" t="s">
        <v>15</v>
      </c>
    </row>
    <row r="159" spans="1:8" x14ac:dyDescent="0.2">
      <c r="A159" s="3">
        <v>35972</v>
      </c>
      <c r="D159" t="s">
        <v>10</v>
      </c>
      <c r="E159">
        <v>8</v>
      </c>
      <c r="H159" t="s">
        <v>9</v>
      </c>
    </row>
    <row r="160" spans="1:8" x14ac:dyDescent="0.2">
      <c r="A160" s="3">
        <v>35972</v>
      </c>
      <c r="D160" t="s">
        <v>13</v>
      </c>
      <c r="E160">
        <v>4</v>
      </c>
      <c r="H160" t="s">
        <v>9</v>
      </c>
    </row>
    <row r="161" spans="1:13" x14ac:dyDescent="0.2">
      <c r="A161" s="3">
        <v>35975</v>
      </c>
      <c r="D161" t="s">
        <v>8</v>
      </c>
      <c r="E161">
        <v>8</v>
      </c>
      <c r="H161" t="s">
        <v>9</v>
      </c>
    </row>
    <row r="162" spans="1:13" x14ac:dyDescent="0.2">
      <c r="A162" s="3">
        <v>35975</v>
      </c>
      <c r="D162" t="s">
        <v>12</v>
      </c>
      <c r="E162">
        <v>4</v>
      </c>
      <c r="H162" t="s">
        <v>9</v>
      </c>
    </row>
    <row r="163" spans="1:13" x14ac:dyDescent="0.2">
      <c r="A163" s="3">
        <v>35975</v>
      </c>
      <c r="D163" t="s">
        <v>17</v>
      </c>
      <c r="E163">
        <v>8</v>
      </c>
      <c r="H163" t="s">
        <v>9</v>
      </c>
    </row>
    <row r="164" spans="1:13" x14ac:dyDescent="0.2">
      <c r="A164" s="3">
        <v>35976</v>
      </c>
      <c r="D164" t="s">
        <v>8</v>
      </c>
      <c r="E164">
        <v>10</v>
      </c>
      <c r="H164" t="s">
        <v>9</v>
      </c>
    </row>
    <row r="165" spans="1:13" x14ac:dyDescent="0.2">
      <c r="A165" s="3">
        <v>35976</v>
      </c>
      <c r="D165" t="s">
        <v>12</v>
      </c>
      <c r="E165">
        <v>6</v>
      </c>
      <c r="H165" t="s">
        <v>9</v>
      </c>
    </row>
    <row r="166" spans="1:13" x14ac:dyDescent="0.2">
      <c r="A166" s="3">
        <v>35976</v>
      </c>
      <c r="D166" t="s">
        <v>17</v>
      </c>
      <c r="E166">
        <v>8</v>
      </c>
      <c r="H166" t="s">
        <v>9</v>
      </c>
    </row>
    <row r="168" spans="1:13" x14ac:dyDescent="0.2">
      <c r="L168" s="7"/>
      <c r="M168" s="7"/>
    </row>
    <row r="169" spans="1:13" x14ac:dyDescent="0.2">
      <c r="J169" s="5" t="s">
        <v>18</v>
      </c>
      <c r="K169" s="6" t="s">
        <v>5</v>
      </c>
      <c r="L169" s="10"/>
    </row>
    <row r="170" spans="1:13" x14ac:dyDescent="0.2">
      <c r="J170" s="8" t="s">
        <v>17</v>
      </c>
      <c r="K170" s="9">
        <v>1900</v>
      </c>
      <c r="L170" s="10"/>
    </row>
    <row r="171" spans="1:13" x14ac:dyDescent="0.2">
      <c r="J171" s="8" t="s">
        <v>14</v>
      </c>
      <c r="K171" s="9">
        <v>2400</v>
      </c>
      <c r="L171" s="10"/>
    </row>
    <row r="172" spans="1:13" x14ac:dyDescent="0.2">
      <c r="J172" s="8" t="s">
        <v>8</v>
      </c>
      <c r="K172" s="9">
        <v>3800</v>
      </c>
      <c r="L172" s="10"/>
    </row>
    <row r="173" spans="1:13" x14ac:dyDescent="0.2">
      <c r="J173" s="8" t="s">
        <v>12</v>
      </c>
      <c r="K173" s="9">
        <v>4000</v>
      </c>
      <c r="L173" s="10"/>
    </row>
    <row r="174" spans="1:13" x14ac:dyDescent="0.2">
      <c r="J174" s="8" t="s">
        <v>10</v>
      </c>
      <c r="K174" s="9">
        <v>10000</v>
      </c>
      <c r="L174" s="10"/>
    </row>
    <row r="175" spans="1:13" x14ac:dyDescent="0.2">
      <c r="J175" s="11" t="s">
        <v>13</v>
      </c>
      <c r="K175" s="12">
        <v>19000</v>
      </c>
      <c r="L175" s="10"/>
    </row>
    <row r="177" spans="10:11" x14ac:dyDescent="0.2">
      <c r="J177" s="2"/>
      <c r="K177" s="1"/>
    </row>
    <row r="178" spans="10:11" x14ac:dyDescent="0.2">
      <c r="J178" s="4"/>
    </row>
    <row r="179" spans="10:11" x14ac:dyDescent="0.2">
      <c r="J179" s="4"/>
    </row>
  </sheetData>
  <phoneticPr fontId="6"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heetViews>
  <sheetFormatPr defaultRowHeight="12.75" x14ac:dyDescent="0.2"/>
  <cols>
    <col min="1" max="1" width="73" bestFit="1" customWidth="1"/>
    <col min="2" max="2" width="13.140625" bestFit="1" customWidth="1"/>
  </cols>
  <sheetData>
    <row r="1" spans="1:4" x14ac:dyDescent="0.2">
      <c r="A1" s="15" t="s">
        <v>48</v>
      </c>
      <c r="B1" s="15" t="s">
        <v>49</v>
      </c>
      <c r="C1" s="15"/>
      <c r="D1" s="15" t="s">
        <v>50</v>
      </c>
    </row>
    <row r="2" spans="1:4" x14ac:dyDescent="0.2">
      <c r="A2" t="s">
        <v>19</v>
      </c>
      <c r="B2">
        <v>5768000</v>
      </c>
      <c r="D2">
        <v>1</v>
      </c>
    </row>
    <row r="3" spans="1:4" x14ac:dyDescent="0.2">
      <c r="A3" t="s">
        <v>52</v>
      </c>
      <c r="B3">
        <v>349600</v>
      </c>
      <c r="D3">
        <v>1</v>
      </c>
    </row>
    <row r="4" spans="1:4" x14ac:dyDescent="0.2">
      <c r="A4" t="s">
        <v>20</v>
      </c>
      <c r="B4">
        <v>3826000</v>
      </c>
      <c r="D4">
        <v>1</v>
      </c>
    </row>
    <row r="5" spans="1:4" x14ac:dyDescent="0.2">
      <c r="A5" t="s">
        <v>21</v>
      </c>
      <c r="B5" s="13">
        <v>30400</v>
      </c>
      <c r="D5">
        <v>1</v>
      </c>
    </row>
    <row r="6" spans="1:4" x14ac:dyDescent="0.2">
      <c r="A6" t="s">
        <v>53</v>
      </c>
      <c r="B6" s="13">
        <v>5</v>
      </c>
      <c r="C6">
        <v>608000</v>
      </c>
      <c r="D6">
        <v>1</v>
      </c>
    </row>
    <row r="7" spans="1:4" x14ac:dyDescent="0.2">
      <c r="A7" t="s">
        <v>54</v>
      </c>
      <c r="B7" s="13" t="s">
        <v>8</v>
      </c>
      <c r="C7">
        <v>18</v>
      </c>
      <c r="D7">
        <v>1</v>
      </c>
    </row>
    <row r="8" spans="1:4" x14ac:dyDescent="0.2">
      <c r="A8" t="s">
        <v>55</v>
      </c>
      <c r="B8" s="14" t="s">
        <v>9</v>
      </c>
      <c r="C8">
        <v>78</v>
      </c>
      <c r="D8">
        <v>1</v>
      </c>
    </row>
    <row r="9" spans="1:4" x14ac:dyDescent="0.2">
      <c r="A9" t="s">
        <v>56</v>
      </c>
      <c r="B9" t="s">
        <v>57</v>
      </c>
      <c r="C9">
        <v>22</v>
      </c>
      <c r="D9">
        <v>1</v>
      </c>
    </row>
    <row r="10" spans="1:4" x14ac:dyDescent="0.2">
      <c r="A10" t="s">
        <v>58</v>
      </c>
      <c r="B10" t="s">
        <v>9</v>
      </c>
      <c r="C10" s="13">
        <v>34</v>
      </c>
      <c r="D10">
        <v>1</v>
      </c>
    </row>
    <row r="11" spans="1:4" x14ac:dyDescent="0.2">
      <c r="A11" t="s">
        <v>46</v>
      </c>
      <c r="B11">
        <v>380000</v>
      </c>
      <c r="D11">
        <v>2</v>
      </c>
    </row>
    <row r="12" spans="1:4" x14ac:dyDescent="0.2">
      <c r="A12" t="s">
        <v>47</v>
      </c>
      <c r="B12">
        <v>4300</v>
      </c>
      <c r="D12">
        <v>2</v>
      </c>
    </row>
    <row r="13" spans="1:4" x14ac:dyDescent="0.2">
      <c r="A13" t="s">
        <v>267</v>
      </c>
      <c r="B13">
        <v>6.3928220912383207</v>
      </c>
      <c r="D13">
        <v>1</v>
      </c>
    </row>
    <row r="14" spans="1:4" x14ac:dyDescent="0.2">
      <c r="D14">
        <f>SUM(D2:D13)</f>
        <v>14</v>
      </c>
    </row>
    <row r="15" spans="1:4" x14ac:dyDescent="0.2">
      <c r="A15" t="s">
        <v>73</v>
      </c>
    </row>
    <row r="16" spans="1:4" x14ac:dyDescent="0.2">
      <c r="A16" t="s">
        <v>88</v>
      </c>
    </row>
    <row r="17" spans="6:10" x14ac:dyDescent="0.2">
      <c r="F17" s="43"/>
      <c r="G17" s="43"/>
      <c r="H17" s="43"/>
      <c r="I17" s="43"/>
      <c r="J17" s="44"/>
    </row>
    <row r="18" spans="6:10" x14ac:dyDescent="0.2">
      <c r="F18" s="43"/>
      <c r="G18" s="43"/>
      <c r="H18" s="43"/>
      <c r="I18" s="43"/>
      <c r="J18" s="44"/>
    </row>
    <row r="19" spans="6:10" x14ac:dyDescent="0.2">
      <c r="I19" s="43"/>
    </row>
    <row r="20" spans="6:10" x14ac:dyDescent="0.2">
      <c r="I20" s="43"/>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8</vt:i4>
      </vt:variant>
    </vt:vector>
  </HeadingPairs>
  <TitlesOfParts>
    <vt:vector size="21" baseType="lpstr">
      <vt:lpstr>Regrese</vt:lpstr>
      <vt:lpstr>MNČ</vt:lpstr>
      <vt:lpstr>Datové tabulky</vt:lpstr>
      <vt:lpstr>Databázové funkce</vt:lpstr>
      <vt:lpstr>Kontingenční tabulka</vt:lpstr>
      <vt:lpstr>Funkce POSUN</vt:lpstr>
      <vt:lpstr>Vývoj v čase</vt:lpstr>
      <vt:lpstr>Funkce SVYHLEDAT</vt:lpstr>
      <vt:lpstr>Maticové vzorce</vt:lpstr>
      <vt:lpstr>Doprava</vt:lpstr>
      <vt:lpstr>Čokoládovna</vt:lpstr>
      <vt:lpstr>Seznam</vt:lpstr>
      <vt:lpstr>Otázky</vt:lpstr>
      <vt:lpstr>Cena</vt:lpstr>
      <vt:lpstr>Datum</vt:lpstr>
      <vt:lpstr>Den</vt:lpstr>
      <vt:lpstr>Měsíc</vt:lpstr>
      <vt:lpstr>Počet</vt:lpstr>
      <vt:lpstr>Tržba</vt:lpstr>
      <vt:lpstr>Výrobek</vt:lpstr>
      <vt:lpstr>Zákazník</vt:lpstr>
    </vt:vector>
  </TitlesOfParts>
  <Manager>Prof. Jiří Kraft</Manager>
  <Company>Katedra informatiky Hospodářské fakulty Technické univerzity v Liberci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Příprava na test</dc:title>
  <dc:subject>Informatika</dc:subject>
  <dc:creator>Dana Nejedlová</dc:creator>
  <cp:lastModifiedBy>Dana Nejedlová</cp:lastModifiedBy>
  <dcterms:created xsi:type="dcterms:W3CDTF">2000-11-25T20:06:41Z</dcterms:created>
  <dcterms:modified xsi:type="dcterms:W3CDTF">2023-05-30T10:21:14Z</dcterms:modified>
</cp:coreProperties>
</file>